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drawings/drawing3.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chris\OneDrive\Documents\Gates Foundation\Gates_Cost Work_1\Minimum Stds\"/>
    </mc:Choice>
  </mc:AlternateContent>
  <xr:revisionPtr revIDLastSave="0" documentId="8_{37D016CB-1C66-4614-8AB7-220BBA50A8F9}" xr6:coauthVersionLast="47" xr6:coauthVersionMax="47" xr10:uidLastSave="{00000000-0000-0000-0000-000000000000}"/>
  <bookViews>
    <workbookView xWindow="-120" yWindow="-120" windowWidth="29040" windowHeight="15720" xr2:uid="{3DE0CB12-DDC9-48CE-9200-43EC2837CB47}"/>
  </bookViews>
  <sheets>
    <sheet name="READ_ME" sheetId="26" r:id="rId1"/>
    <sheet name="Final Model Description" sheetId="46" r:id="rId2"/>
    <sheet name="How to Make Adjustments" sheetId="59" r:id="rId3"/>
    <sheet name="MULTI-YEAR SUMMARY " sheetId="58" r:id="rId4"/>
    <sheet name="Model_Yr1" sheetId="53" r:id="rId5"/>
    <sheet name="Model_Yr2" sheetId="54" r:id="rId6"/>
    <sheet name="Model_Yr 3" sheetId="56" r:id="rId7"/>
    <sheet name="Model_Yr 4" sheetId="55" r:id="rId8"/>
    <sheet name="Instructional Coaching" sheetId="52" r:id="rId9"/>
    <sheet name="Prices_non-Labor" sheetId="17" r:id="rId10"/>
    <sheet name="Demographic Data" sheetId="10" r:id="rId11"/>
    <sheet name="Reference Sheet" sheetId="2" r:id="rId12"/>
    <sheet name="CORE Model_Year 3" sheetId="33" state="hidden" r:id="rId13"/>
  </sheets>
  <definedNames>
    <definedName name="_ftn1" localSheetId="0">READ_ME!$A$58</definedName>
    <definedName name="_ftnref1" localSheetId="0">READ_ME!#REF!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3" i="58" l="1"/>
  <c r="X67" i="55" l="1"/>
  <c r="X67" i="56"/>
  <c r="X67" i="54"/>
  <c r="X67" i="53"/>
  <c r="C60" i="58" l="1"/>
  <c r="B60" i="58"/>
  <c r="E60" i="58"/>
  <c r="D60" i="58"/>
  <c r="D61" i="58"/>
  <c r="E53" i="58"/>
  <c r="D53" i="58"/>
  <c r="C53" i="58"/>
  <c r="B53" i="58"/>
  <c r="B115" i="55"/>
  <c r="B116" i="55" s="1"/>
  <c r="B109" i="55"/>
  <c r="B108" i="55"/>
  <c r="B115" i="56"/>
  <c r="B116" i="56" s="1"/>
  <c r="B109" i="56"/>
  <c r="B110" i="56" s="1"/>
  <c r="B108" i="56"/>
  <c r="B115" i="54"/>
  <c r="B116" i="54" s="1"/>
  <c r="B111" i="54"/>
  <c r="B112" i="54" s="1"/>
  <c r="C51" i="58" s="1"/>
  <c r="B108" i="54"/>
  <c r="B116" i="53"/>
  <c r="B115" i="53"/>
  <c r="I44" i="58"/>
  <c r="H44" i="58"/>
  <c r="G44" i="58"/>
  <c r="F44" i="58"/>
  <c r="E44" i="58"/>
  <c r="D44" i="58"/>
  <c r="I43" i="58"/>
  <c r="H43" i="58"/>
  <c r="G43" i="58"/>
  <c r="F43" i="58"/>
  <c r="E43" i="58"/>
  <c r="D43" i="58"/>
  <c r="I41" i="58"/>
  <c r="H41" i="58"/>
  <c r="G41" i="58"/>
  <c r="F41" i="58"/>
  <c r="E41" i="58"/>
  <c r="D41" i="58"/>
  <c r="D40" i="58"/>
  <c r="F40" i="58" s="1"/>
  <c r="D45" i="58"/>
  <c r="H12" i="58"/>
  <c r="F12" i="58"/>
  <c r="D12" i="58"/>
  <c r="I11" i="58"/>
  <c r="H11" i="58"/>
  <c r="I10" i="58"/>
  <c r="H10" i="58"/>
  <c r="I8" i="58"/>
  <c r="I12" i="58" s="1"/>
  <c r="H8" i="58"/>
  <c r="G11" i="58"/>
  <c r="F11" i="58"/>
  <c r="G10" i="58"/>
  <c r="F10" i="58"/>
  <c r="G8" i="58"/>
  <c r="F8" i="58"/>
  <c r="E11" i="58"/>
  <c r="D11" i="58"/>
  <c r="E10" i="58"/>
  <c r="D10" i="58"/>
  <c r="E8" i="58"/>
  <c r="E12" i="58" s="1"/>
  <c r="D8" i="58"/>
  <c r="C14" i="55"/>
  <c r="P62" i="55"/>
  <c r="P61" i="55"/>
  <c r="P60" i="55"/>
  <c r="P49" i="55"/>
  <c r="P48" i="55"/>
  <c r="P47" i="55"/>
  <c r="P46" i="55"/>
  <c r="P45" i="55"/>
  <c r="P44" i="55"/>
  <c r="P43" i="55"/>
  <c r="P42" i="55"/>
  <c r="P41" i="55"/>
  <c r="P40" i="55"/>
  <c r="P39" i="55"/>
  <c r="P38" i="55"/>
  <c r="P37" i="55"/>
  <c r="P22" i="55"/>
  <c r="P21" i="55"/>
  <c r="P20" i="55"/>
  <c r="P19" i="55"/>
  <c r="P18" i="55"/>
  <c r="P17" i="55"/>
  <c r="P16" i="55"/>
  <c r="P15" i="55"/>
  <c r="P14" i="55"/>
  <c r="C98" i="55"/>
  <c r="C97" i="55"/>
  <c r="C87" i="55"/>
  <c r="C86" i="55"/>
  <c r="C85" i="55"/>
  <c r="C84" i="55"/>
  <c r="C83" i="55"/>
  <c r="C82" i="55"/>
  <c r="C81" i="55"/>
  <c r="C80" i="55"/>
  <c r="C79" i="55"/>
  <c r="C78" i="55"/>
  <c r="C77" i="55"/>
  <c r="C76" i="55"/>
  <c r="C75" i="55"/>
  <c r="C61" i="55"/>
  <c r="C60" i="55"/>
  <c r="C59" i="55"/>
  <c r="C58" i="55"/>
  <c r="C57" i="55"/>
  <c r="C56" i="55"/>
  <c r="C55" i="55"/>
  <c r="C54" i="55"/>
  <c r="C53" i="55"/>
  <c r="C52" i="55"/>
  <c r="C51" i="55"/>
  <c r="C50" i="55"/>
  <c r="C49" i="55"/>
  <c r="C48" i="55"/>
  <c r="C47" i="55"/>
  <c r="C46" i="55"/>
  <c r="C45" i="55"/>
  <c r="C44" i="55"/>
  <c r="C43" i="55"/>
  <c r="C42" i="55"/>
  <c r="C41" i="55"/>
  <c r="C40" i="55"/>
  <c r="C39" i="55"/>
  <c r="C22" i="55"/>
  <c r="C21" i="55"/>
  <c r="C20" i="55"/>
  <c r="C19" i="55"/>
  <c r="C18" i="55"/>
  <c r="C17" i="55"/>
  <c r="C16" i="55"/>
  <c r="C15" i="55"/>
  <c r="R62" i="55"/>
  <c r="Q62" i="55"/>
  <c r="S62" i="55" s="1"/>
  <c r="T62" i="55" s="1"/>
  <c r="X65" i="55" s="1"/>
  <c r="R61" i="55"/>
  <c r="Q61" i="55"/>
  <c r="S61" i="55" s="1"/>
  <c r="R60" i="55"/>
  <c r="S60" i="55" s="1"/>
  <c r="T60" i="55" s="1"/>
  <c r="Q60" i="55"/>
  <c r="R59" i="55"/>
  <c r="S59" i="55" s="1"/>
  <c r="Q59" i="55"/>
  <c r="R48" i="55"/>
  <c r="R47" i="55"/>
  <c r="R46" i="55"/>
  <c r="Q46" i="55"/>
  <c r="S46" i="55" s="1"/>
  <c r="T46" i="55" s="1"/>
  <c r="R45" i="55"/>
  <c r="R44" i="55"/>
  <c r="S44" i="55" s="1"/>
  <c r="R42" i="55"/>
  <c r="S42" i="55" s="1"/>
  <c r="T42" i="55" s="1"/>
  <c r="R41" i="55"/>
  <c r="Q41" i="55"/>
  <c r="S41" i="55" s="1"/>
  <c r="R40" i="55"/>
  <c r="S40" i="55" s="1"/>
  <c r="R39" i="55"/>
  <c r="S39" i="55" s="1"/>
  <c r="R38" i="55"/>
  <c r="S38" i="55" s="1"/>
  <c r="T38" i="55" s="1"/>
  <c r="R36" i="55"/>
  <c r="R43" i="55" s="1"/>
  <c r="T33" i="55"/>
  <c r="R22" i="55"/>
  <c r="S22" i="55" s="1"/>
  <c r="R21" i="55"/>
  <c r="S21" i="55" s="1"/>
  <c r="T21" i="55" s="1"/>
  <c r="Q21" i="55"/>
  <c r="R20" i="55"/>
  <c r="R19" i="55"/>
  <c r="S19" i="55" s="1"/>
  <c r="R18" i="55"/>
  <c r="S18" i="55" s="1"/>
  <c r="R17" i="55"/>
  <c r="S17" i="55" s="1"/>
  <c r="T17" i="55" s="1"/>
  <c r="R16" i="55"/>
  <c r="S16" i="55" s="1"/>
  <c r="T16" i="55" s="1"/>
  <c r="R15" i="55"/>
  <c r="S15" i="55" s="1"/>
  <c r="R14" i="55"/>
  <c r="S14" i="55" s="1"/>
  <c r="T14" i="55" s="1"/>
  <c r="S13" i="55"/>
  <c r="S12" i="55"/>
  <c r="U10" i="55"/>
  <c r="Q20" i="55" s="1"/>
  <c r="S20" i="55" s="1"/>
  <c r="P14" i="56"/>
  <c r="C9" i="54"/>
  <c r="C7" i="54"/>
  <c r="D8" i="54"/>
  <c r="B8" i="54"/>
  <c r="P62" i="54"/>
  <c r="P62" i="56"/>
  <c r="P61" i="56"/>
  <c r="P60" i="56"/>
  <c r="P49" i="56"/>
  <c r="P48" i="56"/>
  <c r="P47" i="56"/>
  <c r="P46" i="56"/>
  <c r="P45" i="56"/>
  <c r="P44" i="56"/>
  <c r="P43" i="56"/>
  <c r="P42" i="56"/>
  <c r="P41" i="56"/>
  <c r="P40" i="56"/>
  <c r="P37" i="56"/>
  <c r="P39" i="56"/>
  <c r="P38" i="56"/>
  <c r="P22" i="56"/>
  <c r="P21" i="56"/>
  <c r="P20" i="56"/>
  <c r="P19" i="56"/>
  <c r="P18" i="56"/>
  <c r="P17" i="56"/>
  <c r="P16" i="56"/>
  <c r="P15" i="56"/>
  <c r="R62" i="56"/>
  <c r="Q62" i="56"/>
  <c r="S62" i="56" s="1"/>
  <c r="T62" i="56" s="1"/>
  <c r="X65" i="56" s="1"/>
  <c r="R61" i="56"/>
  <c r="Q61" i="56"/>
  <c r="S61" i="56" s="1"/>
  <c r="R60" i="56"/>
  <c r="S60" i="56" s="1"/>
  <c r="Q60" i="56"/>
  <c r="R59" i="56"/>
  <c r="S59" i="56" s="1"/>
  <c r="Q59" i="56"/>
  <c r="R48" i="56"/>
  <c r="R47" i="56"/>
  <c r="R46" i="56"/>
  <c r="Q46" i="56"/>
  <c r="S46" i="56" s="1"/>
  <c r="T46" i="56" s="1"/>
  <c r="R45" i="56"/>
  <c r="R44" i="56"/>
  <c r="S44" i="56" s="1"/>
  <c r="R42" i="56"/>
  <c r="S42" i="56" s="1"/>
  <c r="R41" i="56"/>
  <c r="Q41" i="56"/>
  <c r="S41" i="56" s="1"/>
  <c r="R40" i="56"/>
  <c r="S40" i="56" s="1"/>
  <c r="T40" i="56" s="1"/>
  <c r="R39" i="56"/>
  <c r="S39" i="56" s="1"/>
  <c r="T39" i="56" s="1"/>
  <c r="R38" i="56"/>
  <c r="S38" i="56" s="1"/>
  <c r="T38" i="56" s="1"/>
  <c r="R36" i="56"/>
  <c r="R43" i="56" s="1"/>
  <c r="T33" i="56"/>
  <c r="R22" i="56"/>
  <c r="S22" i="56" s="1"/>
  <c r="T22" i="56" s="1"/>
  <c r="X28" i="56" s="1"/>
  <c r="R21" i="56"/>
  <c r="S21" i="56" s="1"/>
  <c r="T21" i="56" s="1"/>
  <c r="Q21" i="56"/>
  <c r="R20" i="56"/>
  <c r="R19" i="56"/>
  <c r="S19" i="56" s="1"/>
  <c r="T19" i="56" s="1"/>
  <c r="R18" i="56"/>
  <c r="S18" i="56" s="1"/>
  <c r="R17" i="56"/>
  <c r="S17" i="56" s="1"/>
  <c r="R16" i="56"/>
  <c r="S16" i="56" s="1"/>
  <c r="T16" i="56" s="1"/>
  <c r="R15" i="56"/>
  <c r="S15" i="56" s="1"/>
  <c r="R14" i="56"/>
  <c r="S14" i="56" s="1"/>
  <c r="S13" i="56"/>
  <c r="S12" i="56"/>
  <c r="U10" i="56"/>
  <c r="Q20" i="56" s="1"/>
  <c r="S20" i="56" s="1"/>
  <c r="T20" i="56" s="1"/>
  <c r="X27" i="56" s="1"/>
  <c r="Q49" i="54"/>
  <c r="Q48" i="54"/>
  <c r="S48" i="54" s="1"/>
  <c r="T48" i="54" s="1"/>
  <c r="Q47" i="54"/>
  <c r="Q46" i="54"/>
  <c r="Q45" i="54"/>
  <c r="Q43" i="54"/>
  <c r="Q41" i="54"/>
  <c r="Q48" i="53"/>
  <c r="Q41" i="53"/>
  <c r="P22" i="54"/>
  <c r="P21" i="54"/>
  <c r="P20" i="54"/>
  <c r="P19" i="54"/>
  <c r="P18" i="54"/>
  <c r="P17" i="54"/>
  <c r="P16" i="54"/>
  <c r="P15" i="54"/>
  <c r="P14" i="54"/>
  <c r="P61" i="54"/>
  <c r="P60" i="54"/>
  <c r="P49" i="54"/>
  <c r="P48" i="54"/>
  <c r="P47" i="54"/>
  <c r="P46" i="54"/>
  <c r="P45" i="54"/>
  <c r="P44" i="54"/>
  <c r="P42" i="54"/>
  <c r="P41" i="54"/>
  <c r="P40" i="54"/>
  <c r="P39" i="54"/>
  <c r="P38" i="54"/>
  <c r="P37" i="54"/>
  <c r="R62" i="54"/>
  <c r="Q62" i="54"/>
  <c r="S62" i="54" s="1"/>
  <c r="T62" i="54" s="1"/>
  <c r="X65" i="54" s="1"/>
  <c r="B109" i="54" s="1"/>
  <c r="R61" i="54"/>
  <c r="Q61" i="54"/>
  <c r="S61" i="54" s="1"/>
  <c r="T61" i="54" s="1"/>
  <c r="R60" i="54"/>
  <c r="S60" i="54" s="1"/>
  <c r="T60" i="54" s="1"/>
  <c r="Q60" i="54"/>
  <c r="R59" i="54"/>
  <c r="S59" i="54" s="1"/>
  <c r="Q59" i="54"/>
  <c r="S49" i="54"/>
  <c r="T49" i="54" s="1"/>
  <c r="X55" i="54" s="1"/>
  <c r="R48" i="54"/>
  <c r="R47" i="54"/>
  <c r="S47" i="54"/>
  <c r="R46" i="54"/>
  <c r="S46" i="54"/>
  <c r="T46" i="54" s="1"/>
  <c r="R45" i="54"/>
  <c r="S45" i="54"/>
  <c r="T45" i="54" s="1"/>
  <c r="R44" i="54"/>
  <c r="S44" i="54" s="1"/>
  <c r="T44" i="54" s="1"/>
  <c r="P43" i="54"/>
  <c r="R42" i="54"/>
  <c r="S42" i="54" s="1"/>
  <c r="T42" i="54" s="1"/>
  <c r="R41" i="54"/>
  <c r="S41" i="54"/>
  <c r="R40" i="54"/>
  <c r="S40" i="54" s="1"/>
  <c r="T40" i="54" s="1"/>
  <c r="R39" i="54"/>
  <c r="S39" i="54" s="1"/>
  <c r="R38" i="54"/>
  <c r="S38" i="54" s="1"/>
  <c r="T38" i="54" s="1"/>
  <c r="R36" i="54"/>
  <c r="R43" i="54" s="1"/>
  <c r="S43" i="54" s="1"/>
  <c r="T43" i="54" s="1"/>
  <c r="T33" i="54"/>
  <c r="Q36" i="54" s="1"/>
  <c r="S36" i="54" s="1"/>
  <c r="R22" i="54"/>
  <c r="S22" i="54" s="1"/>
  <c r="T22" i="54" s="1"/>
  <c r="X28" i="54" s="1"/>
  <c r="R21" i="54"/>
  <c r="S21" i="54" s="1"/>
  <c r="T21" i="54" s="1"/>
  <c r="Q21" i="54"/>
  <c r="R20" i="54"/>
  <c r="R19" i="54"/>
  <c r="S19" i="54" s="1"/>
  <c r="T19" i="54" s="1"/>
  <c r="R18" i="54"/>
  <c r="S18" i="54" s="1"/>
  <c r="T18" i="54" s="1"/>
  <c r="T17" i="54"/>
  <c r="S17" i="54"/>
  <c r="R17" i="54"/>
  <c r="R16" i="54"/>
  <c r="S16" i="54" s="1"/>
  <c r="R15" i="54"/>
  <c r="S15" i="54" s="1"/>
  <c r="T14" i="54"/>
  <c r="S14" i="54"/>
  <c r="R14" i="54"/>
  <c r="S13" i="54"/>
  <c r="S12" i="54"/>
  <c r="U10" i="54"/>
  <c r="Q22" i="54" s="1"/>
  <c r="T33" i="53"/>
  <c r="Q36" i="53" s="1"/>
  <c r="U10" i="53"/>
  <c r="Q22" i="53" s="1"/>
  <c r="P62" i="53"/>
  <c r="P61" i="53"/>
  <c r="P60" i="53"/>
  <c r="Q62" i="53"/>
  <c r="S62" i="53" s="1"/>
  <c r="Q61" i="53"/>
  <c r="S61" i="53" s="1"/>
  <c r="Q60" i="53"/>
  <c r="Q59" i="53"/>
  <c r="D62" i="52"/>
  <c r="D61" i="52"/>
  <c r="F61" i="52" s="1"/>
  <c r="G61" i="52" s="1"/>
  <c r="K67" i="52" s="1"/>
  <c r="D60" i="52"/>
  <c r="F60" i="52" s="1"/>
  <c r="D59" i="52"/>
  <c r="P49" i="53"/>
  <c r="P22" i="53"/>
  <c r="R62" i="53"/>
  <c r="R61" i="53"/>
  <c r="R60" i="53"/>
  <c r="R59" i="53"/>
  <c r="P48" i="53"/>
  <c r="P47" i="53"/>
  <c r="R46" i="53"/>
  <c r="P46" i="53"/>
  <c r="R45" i="53"/>
  <c r="P45" i="53"/>
  <c r="P44" i="53"/>
  <c r="P43" i="53"/>
  <c r="R42" i="53"/>
  <c r="S42" i="53" s="1"/>
  <c r="P42" i="53"/>
  <c r="R41" i="53"/>
  <c r="P41" i="53"/>
  <c r="P40" i="53"/>
  <c r="R39" i="53"/>
  <c r="S39" i="53" s="1"/>
  <c r="P39" i="53"/>
  <c r="P38" i="53"/>
  <c r="R37" i="53"/>
  <c r="S37" i="53" s="1"/>
  <c r="P37" i="53"/>
  <c r="R36" i="53"/>
  <c r="R43" i="53" s="1"/>
  <c r="R22" i="53"/>
  <c r="R21" i="53"/>
  <c r="P21" i="53"/>
  <c r="R20" i="53"/>
  <c r="P20" i="53"/>
  <c r="R19" i="53"/>
  <c r="S19" i="53" s="1"/>
  <c r="P19" i="53"/>
  <c r="R18" i="53"/>
  <c r="S18" i="53" s="1"/>
  <c r="P18" i="53"/>
  <c r="R17" i="53"/>
  <c r="S17" i="53" s="1"/>
  <c r="P17" i="53"/>
  <c r="R16" i="53"/>
  <c r="S16" i="53" s="1"/>
  <c r="P16" i="53"/>
  <c r="R15" i="53"/>
  <c r="S15" i="53" s="1"/>
  <c r="P15" i="53"/>
  <c r="R14" i="53"/>
  <c r="S14" i="53" s="1"/>
  <c r="P14" i="53"/>
  <c r="S13" i="53"/>
  <c r="S12" i="53"/>
  <c r="P10" i="53"/>
  <c r="E98" i="56"/>
  <c r="F98" i="56" s="1"/>
  <c r="C98" i="56"/>
  <c r="G98" i="56" s="1"/>
  <c r="G105" i="56" s="1"/>
  <c r="E97" i="56"/>
  <c r="F97" i="56" s="1"/>
  <c r="C97" i="56"/>
  <c r="D87" i="56"/>
  <c r="F87" i="56" s="1"/>
  <c r="G87" i="56" s="1"/>
  <c r="K93" i="56" s="1"/>
  <c r="C87" i="56"/>
  <c r="C86" i="56"/>
  <c r="C85" i="56"/>
  <c r="E84" i="56"/>
  <c r="C84" i="56"/>
  <c r="E83" i="56"/>
  <c r="C83" i="56"/>
  <c r="C82" i="56"/>
  <c r="C81" i="56"/>
  <c r="E80" i="56"/>
  <c r="F80" i="56" s="1"/>
  <c r="G80" i="56" s="1"/>
  <c r="C80" i="56"/>
  <c r="E79" i="56"/>
  <c r="C79" i="56"/>
  <c r="C78" i="56"/>
  <c r="F77" i="56"/>
  <c r="G77" i="56" s="1"/>
  <c r="E77" i="56"/>
  <c r="C77" i="56"/>
  <c r="C76" i="56"/>
  <c r="C75" i="56"/>
  <c r="E74" i="56"/>
  <c r="E76" i="56" s="1"/>
  <c r="F76" i="56" s="1"/>
  <c r="G76" i="56" s="1"/>
  <c r="D73" i="56"/>
  <c r="F73" i="56" s="1"/>
  <c r="G71" i="56"/>
  <c r="D83" i="56" s="1"/>
  <c r="F83" i="56" s="1"/>
  <c r="G83" i="56" s="1"/>
  <c r="F61" i="56"/>
  <c r="G61" i="56" s="1"/>
  <c r="K67" i="56" s="1"/>
  <c r="D61" i="56"/>
  <c r="C61" i="56"/>
  <c r="C60" i="56"/>
  <c r="D59" i="56"/>
  <c r="C59" i="56"/>
  <c r="E58" i="56"/>
  <c r="F58" i="56" s="1"/>
  <c r="G58" i="56" s="1"/>
  <c r="D58" i="56"/>
  <c r="C58" i="56"/>
  <c r="E57" i="56"/>
  <c r="F57" i="56" s="1"/>
  <c r="G57" i="56" s="1"/>
  <c r="D57" i="56"/>
  <c r="C57" i="56"/>
  <c r="D56" i="56"/>
  <c r="C56" i="56"/>
  <c r="D55" i="56"/>
  <c r="C55" i="56"/>
  <c r="F54" i="56"/>
  <c r="G54" i="56" s="1"/>
  <c r="E54" i="56"/>
  <c r="D54" i="56"/>
  <c r="C54" i="56"/>
  <c r="F53" i="56"/>
  <c r="G53" i="56" s="1"/>
  <c r="E53" i="56"/>
  <c r="D53" i="56"/>
  <c r="C53" i="56"/>
  <c r="C52" i="56"/>
  <c r="D51" i="56"/>
  <c r="C51" i="56"/>
  <c r="C50" i="56"/>
  <c r="E49" i="56"/>
  <c r="F49" i="56" s="1"/>
  <c r="G49" i="56" s="1"/>
  <c r="D49" i="56"/>
  <c r="C49" i="56"/>
  <c r="E48" i="56"/>
  <c r="F48" i="56" s="1"/>
  <c r="G48" i="56" s="1"/>
  <c r="C48" i="56"/>
  <c r="E47" i="56"/>
  <c r="D47" i="56"/>
  <c r="F47" i="56" s="1"/>
  <c r="G47" i="56" s="1"/>
  <c r="C47" i="56"/>
  <c r="E46" i="56"/>
  <c r="F46" i="56" s="1"/>
  <c r="G46" i="56" s="1"/>
  <c r="C46" i="56"/>
  <c r="F45" i="56"/>
  <c r="G45" i="56" s="1"/>
  <c r="E45" i="56"/>
  <c r="D45" i="56"/>
  <c r="C45" i="56"/>
  <c r="C44" i="56"/>
  <c r="C43" i="56"/>
  <c r="C42" i="56"/>
  <c r="F41" i="56"/>
  <c r="G41" i="56" s="1"/>
  <c r="E41" i="56"/>
  <c r="C41" i="56"/>
  <c r="C40" i="56"/>
  <c r="C39" i="56"/>
  <c r="E38" i="56"/>
  <c r="E85" i="56" s="1"/>
  <c r="D38" i="56"/>
  <c r="F37" i="56"/>
  <c r="E37" i="56"/>
  <c r="E50" i="56" s="1"/>
  <c r="F50" i="56" s="1"/>
  <c r="G50" i="56" s="1"/>
  <c r="D37" i="56"/>
  <c r="E36" i="56"/>
  <c r="E42" i="56" s="1"/>
  <c r="F42" i="56" s="1"/>
  <c r="G42" i="56" s="1"/>
  <c r="D36" i="56"/>
  <c r="F36" i="56" s="1"/>
  <c r="D35" i="56"/>
  <c r="F35" i="56" s="1"/>
  <c r="G33" i="56"/>
  <c r="D60" i="56" s="1"/>
  <c r="E22" i="56"/>
  <c r="C22" i="56"/>
  <c r="E21" i="56"/>
  <c r="C21" i="56"/>
  <c r="E20" i="56"/>
  <c r="C20" i="56"/>
  <c r="E19" i="56"/>
  <c r="F19" i="56" s="1"/>
  <c r="G19" i="56" s="1"/>
  <c r="C19" i="56"/>
  <c r="E18" i="56"/>
  <c r="F18" i="56" s="1"/>
  <c r="G18" i="56" s="1"/>
  <c r="K26" i="56" s="1"/>
  <c r="C18" i="56"/>
  <c r="E17" i="56"/>
  <c r="F17" i="56" s="1"/>
  <c r="G17" i="56" s="1"/>
  <c r="C17" i="56"/>
  <c r="E16" i="56"/>
  <c r="F16" i="56" s="1"/>
  <c r="G16" i="56" s="1"/>
  <c r="C16" i="56"/>
  <c r="F15" i="56"/>
  <c r="G15" i="56" s="1"/>
  <c r="C15" i="56"/>
  <c r="F14" i="56"/>
  <c r="G14" i="56" s="1"/>
  <c r="E14" i="56"/>
  <c r="C14" i="56"/>
  <c r="G10" i="56"/>
  <c r="D21" i="56" s="1"/>
  <c r="F21" i="56" s="1"/>
  <c r="G21" i="56" s="1"/>
  <c r="G71" i="53"/>
  <c r="D81" i="53" s="1"/>
  <c r="G71" i="55"/>
  <c r="D83" i="55" s="1"/>
  <c r="F83" i="55" s="1"/>
  <c r="G83" i="55" s="1"/>
  <c r="E98" i="55"/>
  <c r="F98" i="55" s="1"/>
  <c r="F97" i="55"/>
  <c r="G97" i="55" s="1"/>
  <c r="E97" i="55"/>
  <c r="E86" i="55"/>
  <c r="E85" i="55"/>
  <c r="E84" i="55"/>
  <c r="D84" i="55"/>
  <c r="F84" i="55" s="1"/>
  <c r="E83" i="55"/>
  <c r="E81" i="55"/>
  <c r="E80" i="55"/>
  <c r="F80" i="55" s="1"/>
  <c r="G80" i="55" s="1"/>
  <c r="E79" i="55"/>
  <c r="D79" i="55"/>
  <c r="F79" i="55" s="1"/>
  <c r="G79" i="55" s="1"/>
  <c r="E78" i="55"/>
  <c r="F78" i="55" s="1"/>
  <c r="G78" i="55" s="1"/>
  <c r="F77" i="55"/>
  <c r="G77" i="55" s="1"/>
  <c r="E77" i="55"/>
  <c r="E74" i="55"/>
  <c r="E76" i="55" s="1"/>
  <c r="F76" i="55" s="1"/>
  <c r="D61" i="55"/>
  <c r="F61" i="55" s="1"/>
  <c r="G61" i="55" s="1"/>
  <c r="K67" i="55" s="1"/>
  <c r="E60" i="55"/>
  <c r="E59" i="55"/>
  <c r="D59" i="55"/>
  <c r="F59" i="55" s="1"/>
  <c r="G59" i="55" s="1"/>
  <c r="E58" i="55"/>
  <c r="F58" i="55" s="1"/>
  <c r="G58" i="55" s="1"/>
  <c r="D58" i="55"/>
  <c r="D57" i="55"/>
  <c r="E56" i="55"/>
  <c r="F56" i="55" s="1"/>
  <c r="G56" i="55" s="1"/>
  <c r="D56" i="55"/>
  <c r="D55" i="55"/>
  <c r="E54" i="55"/>
  <c r="D54" i="55"/>
  <c r="F54" i="55" s="1"/>
  <c r="E53" i="55"/>
  <c r="D53" i="55"/>
  <c r="F53" i="55" s="1"/>
  <c r="G53" i="55" s="1"/>
  <c r="E52" i="55"/>
  <c r="F52" i="55" s="1"/>
  <c r="G52" i="55" s="1"/>
  <c r="E51" i="55"/>
  <c r="D51" i="55"/>
  <c r="F51" i="55" s="1"/>
  <c r="D49" i="55"/>
  <c r="D47" i="55"/>
  <c r="E46" i="55"/>
  <c r="F46" i="55" s="1"/>
  <c r="G46" i="55" s="1"/>
  <c r="E45" i="55"/>
  <c r="F45" i="55" s="1"/>
  <c r="G45" i="55" s="1"/>
  <c r="D45" i="55"/>
  <c r="E44" i="55"/>
  <c r="F44" i="55" s="1"/>
  <c r="G44" i="55" s="1"/>
  <c r="E43" i="55"/>
  <c r="F43" i="55" s="1"/>
  <c r="G43" i="55" s="1"/>
  <c r="F42" i="55"/>
  <c r="G42" i="55" s="1"/>
  <c r="E42" i="55"/>
  <c r="E41" i="55"/>
  <c r="F41" i="55" s="1"/>
  <c r="G41" i="55" s="1"/>
  <c r="E40" i="55"/>
  <c r="F40" i="55" s="1"/>
  <c r="G40" i="55" s="1"/>
  <c r="E39" i="55"/>
  <c r="F39" i="55" s="1"/>
  <c r="E38" i="55"/>
  <c r="E82" i="55" s="1"/>
  <c r="F82" i="55" s="1"/>
  <c r="G82" i="55" s="1"/>
  <c r="D38" i="55"/>
  <c r="F38" i="55" s="1"/>
  <c r="E37" i="55"/>
  <c r="D37" i="55"/>
  <c r="F37" i="55" s="1"/>
  <c r="E36" i="55"/>
  <c r="D36" i="55"/>
  <c r="F36" i="55" s="1"/>
  <c r="D35" i="55"/>
  <c r="F35" i="55" s="1"/>
  <c r="G33" i="55"/>
  <c r="D60" i="55" s="1"/>
  <c r="F60" i="55" s="1"/>
  <c r="G60" i="55" s="1"/>
  <c r="E22" i="55"/>
  <c r="D22" i="55"/>
  <c r="E21" i="55"/>
  <c r="F21" i="55" s="1"/>
  <c r="G21" i="55" s="1"/>
  <c r="D21" i="55"/>
  <c r="E20" i="55"/>
  <c r="E19" i="55"/>
  <c r="F19" i="55" s="1"/>
  <c r="G19" i="55" s="1"/>
  <c r="F18" i="55"/>
  <c r="G18" i="55" s="1"/>
  <c r="K26" i="55" s="1"/>
  <c r="E18" i="55"/>
  <c r="E17" i="55"/>
  <c r="F17" i="55" s="1"/>
  <c r="G17" i="55" s="1"/>
  <c r="E16" i="55"/>
  <c r="F16" i="55" s="1"/>
  <c r="G16" i="55" s="1"/>
  <c r="F15" i="55"/>
  <c r="G15" i="55" s="1"/>
  <c r="E14" i="55"/>
  <c r="F14" i="55" s="1"/>
  <c r="G14" i="55" s="1"/>
  <c r="D12" i="55"/>
  <c r="F12" i="55" s="1"/>
  <c r="G10" i="55"/>
  <c r="D20" i="55" s="1"/>
  <c r="E98" i="54"/>
  <c r="F98" i="54" s="1"/>
  <c r="D98" i="54"/>
  <c r="C98" i="54"/>
  <c r="G98" i="54" s="1"/>
  <c r="G105" i="54" s="1"/>
  <c r="F97" i="54"/>
  <c r="G97" i="54" s="1"/>
  <c r="B102" i="54" s="1"/>
  <c r="E97" i="54"/>
  <c r="D97" i="54"/>
  <c r="C97" i="54"/>
  <c r="C87" i="54"/>
  <c r="E86" i="54"/>
  <c r="D86" i="54"/>
  <c r="F86" i="54" s="1"/>
  <c r="G86" i="54" s="1"/>
  <c r="C86" i="54"/>
  <c r="C85" i="54"/>
  <c r="E84" i="54"/>
  <c r="D84" i="54"/>
  <c r="F84" i="54" s="1"/>
  <c r="C84" i="54"/>
  <c r="G83" i="54"/>
  <c r="E83" i="54"/>
  <c r="C83" i="54"/>
  <c r="C82" i="54"/>
  <c r="E81" i="54"/>
  <c r="D81" i="54"/>
  <c r="F81" i="54" s="1"/>
  <c r="G81" i="54" s="1"/>
  <c r="C81" i="54"/>
  <c r="G80" i="54"/>
  <c r="F80" i="54"/>
  <c r="E80" i="54"/>
  <c r="C80" i="54"/>
  <c r="E79" i="54"/>
  <c r="D79" i="54"/>
  <c r="F79" i="54" s="1"/>
  <c r="C79" i="54"/>
  <c r="C78" i="54"/>
  <c r="E77" i="54"/>
  <c r="F77" i="54" s="1"/>
  <c r="G77" i="54" s="1"/>
  <c r="C77" i="54"/>
  <c r="E76" i="54"/>
  <c r="F76" i="54" s="1"/>
  <c r="C76" i="54"/>
  <c r="F75" i="54"/>
  <c r="G75" i="54" s="1"/>
  <c r="E75" i="54"/>
  <c r="C75" i="54"/>
  <c r="E74" i="54"/>
  <c r="G71" i="54"/>
  <c r="D83" i="54" s="1"/>
  <c r="F83" i="54" s="1"/>
  <c r="D61" i="54"/>
  <c r="F61" i="54" s="1"/>
  <c r="G61" i="54" s="1"/>
  <c r="K67" i="54" s="1"/>
  <c r="C61" i="54"/>
  <c r="C60" i="54"/>
  <c r="E59" i="54"/>
  <c r="D59" i="54"/>
  <c r="C59" i="54"/>
  <c r="D58" i="54"/>
  <c r="C58" i="54"/>
  <c r="D57" i="54"/>
  <c r="C57" i="54"/>
  <c r="E56" i="54"/>
  <c r="F56" i="54" s="1"/>
  <c r="G56" i="54" s="1"/>
  <c r="D56" i="54"/>
  <c r="C56" i="54"/>
  <c r="D55" i="54"/>
  <c r="C55" i="54"/>
  <c r="E54" i="54"/>
  <c r="D54" i="54"/>
  <c r="F54" i="54" s="1"/>
  <c r="G54" i="54" s="1"/>
  <c r="C54" i="54"/>
  <c r="E53" i="54"/>
  <c r="C53" i="54"/>
  <c r="E52" i="54"/>
  <c r="F52" i="54" s="1"/>
  <c r="C52" i="54"/>
  <c r="F51" i="54"/>
  <c r="G51" i="54" s="1"/>
  <c r="E51" i="54"/>
  <c r="D51" i="54"/>
  <c r="C51" i="54"/>
  <c r="C50" i="54"/>
  <c r="D49" i="54"/>
  <c r="C49" i="54"/>
  <c r="E48" i="54"/>
  <c r="F48" i="54" s="1"/>
  <c r="G48" i="54" s="1"/>
  <c r="C48" i="54"/>
  <c r="D47" i="54"/>
  <c r="C47" i="54"/>
  <c r="E46" i="54"/>
  <c r="F46" i="54" s="1"/>
  <c r="G46" i="54" s="1"/>
  <c r="C46" i="54"/>
  <c r="E45" i="54"/>
  <c r="C45" i="54"/>
  <c r="E44" i="54"/>
  <c r="F44" i="54" s="1"/>
  <c r="C44" i="54"/>
  <c r="C43" i="54"/>
  <c r="C42" i="54"/>
  <c r="E41" i="54"/>
  <c r="F41" i="54" s="1"/>
  <c r="C41" i="54"/>
  <c r="C40" i="54"/>
  <c r="C39" i="54"/>
  <c r="E38" i="54"/>
  <c r="E78" i="54" s="1"/>
  <c r="F78" i="54" s="1"/>
  <c r="G78" i="54" s="1"/>
  <c r="D38" i="54"/>
  <c r="F38" i="54" s="1"/>
  <c r="E37" i="54"/>
  <c r="E49" i="54" s="1"/>
  <c r="D37" i="54"/>
  <c r="F36" i="54"/>
  <c r="E36" i="54"/>
  <c r="E42" i="54" s="1"/>
  <c r="F42" i="54" s="1"/>
  <c r="G42" i="54" s="1"/>
  <c r="D36" i="54"/>
  <c r="G33" i="54"/>
  <c r="D53" i="54" s="1"/>
  <c r="F53" i="54" s="1"/>
  <c r="G53" i="54" s="1"/>
  <c r="F22" i="54"/>
  <c r="G22" i="54" s="1"/>
  <c r="K28" i="54" s="1"/>
  <c r="E22" i="54"/>
  <c r="D22" i="54"/>
  <c r="C22" i="54"/>
  <c r="E21" i="54"/>
  <c r="C21" i="54"/>
  <c r="E20" i="54"/>
  <c r="D20" i="54"/>
  <c r="C20" i="54"/>
  <c r="F19" i="54"/>
  <c r="G19" i="54" s="1"/>
  <c r="E19" i="54"/>
  <c r="C19" i="54"/>
  <c r="E18" i="54"/>
  <c r="F18" i="54" s="1"/>
  <c r="G18" i="54" s="1"/>
  <c r="C18" i="54"/>
  <c r="E17" i="54"/>
  <c r="F17" i="54" s="1"/>
  <c r="C17" i="54"/>
  <c r="F16" i="54"/>
  <c r="G16" i="54" s="1"/>
  <c r="E16" i="54"/>
  <c r="C16" i="54"/>
  <c r="G15" i="54"/>
  <c r="F15" i="54"/>
  <c r="C15" i="54"/>
  <c r="E14" i="54"/>
  <c r="F14" i="54" s="1"/>
  <c r="G14" i="54" s="1"/>
  <c r="C14" i="54"/>
  <c r="F13" i="54"/>
  <c r="D13" i="54"/>
  <c r="G10" i="54"/>
  <c r="D12" i="54" s="1"/>
  <c r="F12" i="54" s="1"/>
  <c r="E98" i="53"/>
  <c r="F98" i="53" s="1"/>
  <c r="C98" i="53"/>
  <c r="E97" i="53"/>
  <c r="F97" i="53" s="1"/>
  <c r="C97" i="53"/>
  <c r="D87" i="53"/>
  <c r="F87" i="53" s="1"/>
  <c r="C87" i="53"/>
  <c r="C86" i="53"/>
  <c r="D85" i="53"/>
  <c r="C85" i="53"/>
  <c r="E84" i="53"/>
  <c r="C84" i="53"/>
  <c r="E83" i="53"/>
  <c r="C83" i="53"/>
  <c r="C82" i="53"/>
  <c r="C81" i="53"/>
  <c r="E80" i="53"/>
  <c r="F80" i="53" s="1"/>
  <c r="C80" i="53"/>
  <c r="E79" i="53"/>
  <c r="C79" i="53"/>
  <c r="C78" i="53"/>
  <c r="E77" i="53"/>
  <c r="F77" i="53" s="1"/>
  <c r="C77" i="53"/>
  <c r="C76" i="53"/>
  <c r="C75" i="53"/>
  <c r="E74" i="53"/>
  <c r="E75" i="53" s="1"/>
  <c r="F75" i="53" s="1"/>
  <c r="G75" i="53" s="1"/>
  <c r="D74" i="53"/>
  <c r="F74" i="53" s="1"/>
  <c r="D73" i="53"/>
  <c r="F73" i="53" s="1"/>
  <c r="D61" i="53"/>
  <c r="F61" i="53" s="1"/>
  <c r="C61" i="53"/>
  <c r="D60" i="53"/>
  <c r="C60" i="53"/>
  <c r="D59" i="53"/>
  <c r="C59" i="53"/>
  <c r="D58" i="53"/>
  <c r="C58" i="53"/>
  <c r="D57" i="53"/>
  <c r="C57" i="53"/>
  <c r="D56" i="53"/>
  <c r="C56" i="53"/>
  <c r="D55" i="53"/>
  <c r="C55" i="53"/>
  <c r="E54" i="53"/>
  <c r="D54" i="53"/>
  <c r="F54" i="53" s="1"/>
  <c r="C54" i="53"/>
  <c r="E53" i="53"/>
  <c r="D53" i="53"/>
  <c r="F53" i="53" s="1"/>
  <c r="C53" i="53"/>
  <c r="C52" i="53"/>
  <c r="D51" i="53"/>
  <c r="C51" i="53"/>
  <c r="C50" i="53"/>
  <c r="D49" i="53"/>
  <c r="C49" i="53"/>
  <c r="C48" i="53"/>
  <c r="D47" i="53"/>
  <c r="C47" i="53"/>
  <c r="E46" i="53"/>
  <c r="F46" i="53" s="1"/>
  <c r="C46" i="53"/>
  <c r="E45" i="53"/>
  <c r="D45" i="53"/>
  <c r="F45" i="53" s="1"/>
  <c r="C45" i="53"/>
  <c r="C44" i="53"/>
  <c r="C43" i="53"/>
  <c r="C42" i="53"/>
  <c r="E41" i="53"/>
  <c r="F41" i="53" s="1"/>
  <c r="C41" i="53"/>
  <c r="C40" i="53"/>
  <c r="C39" i="53"/>
  <c r="E38" i="53"/>
  <c r="E86" i="53" s="1"/>
  <c r="D38" i="53"/>
  <c r="E37" i="53"/>
  <c r="E43" i="53" s="1"/>
  <c r="F43" i="53" s="1"/>
  <c r="G43" i="53" s="1"/>
  <c r="D37" i="53"/>
  <c r="E36" i="53"/>
  <c r="E56" i="53" s="1"/>
  <c r="F56" i="53" s="1"/>
  <c r="D36" i="53"/>
  <c r="D35" i="53"/>
  <c r="F35" i="53" s="1"/>
  <c r="E22" i="53"/>
  <c r="C22" i="53"/>
  <c r="E21" i="53"/>
  <c r="C21" i="53"/>
  <c r="E20" i="53"/>
  <c r="C20" i="53"/>
  <c r="E19" i="53"/>
  <c r="F19" i="53" s="1"/>
  <c r="C19" i="53"/>
  <c r="E18" i="53"/>
  <c r="F18" i="53" s="1"/>
  <c r="C18" i="53"/>
  <c r="E17" i="53"/>
  <c r="F17" i="53" s="1"/>
  <c r="C17" i="53"/>
  <c r="E16" i="53"/>
  <c r="F16" i="53" s="1"/>
  <c r="C16" i="53"/>
  <c r="F15" i="53"/>
  <c r="C15" i="53"/>
  <c r="E14" i="53"/>
  <c r="F14" i="53" s="1"/>
  <c r="C14" i="53"/>
  <c r="G10" i="53"/>
  <c r="D21" i="53" s="1"/>
  <c r="D3" i="52"/>
  <c r="B3" i="52"/>
  <c r="F62" i="52"/>
  <c r="G62" i="52" s="1"/>
  <c r="E62" i="52"/>
  <c r="C62" i="52"/>
  <c r="C61" i="52"/>
  <c r="C60" i="52"/>
  <c r="E61" i="52"/>
  <c r="E60" i="52"/>
  <c r="E59" i="52"/>
  <c r="F59" i="52"/>
  <c r="E36" i="52"/>
  <c r="E37" i="52" s="1"/>
  <c r="E15" i="52"/>
  <c r="D22" i="52"/>
  <c r="D21" i="52"/>
  <c r="D20" i="52"/>
  <c r="F22" i="52"/>
  <c r="C62" i="58" l="1"/>
  <c r="C116" i="54"/>
  <c r="D50" i="58"/>
  <c r="B110" i="55"/>
  <c r="B110" i="54"/>
  <c r="S41" i="53"/>
  <c r="T41" i="53" s="1"/>
  <c r="Q43" i="53"/>
  <c r="T14" i="53"/>
  <c r="S60" i="53"/>
  <c r="T60" i="53" s="1"/>
  <c r="X66" i="53" s="1"/>
  <c r="B113" i="53" s="1"/>
  <c r="B114" i="53" s="1"/>
  <c r="E52" i="53"/>
  <c r="F52" i="53" s="1"/>
  <c r="G52" i="53" s="1"/>
  <c r="R38" i="53"/>
  <c r="S38" i="53" s="1"/>
  <c r="F38" i="53"/>
  <c r="G19" i="53"/>
  <c r="D20" i="53"/>
  <c r="F20" i="53" s="1"/>
  <c r="G20" i="53" s="1"/>
  <c r="G15" i="53"/>
  <c r="Q45" i="53"/>
  <c r="S45" i="53" s="1"/>
  <c r="T45" i="53" s="1"/>
  <c r="X54" i="53" s="1"/>
  <c r="D22" i="53"/>
  <c r="F22" i="53" s="1"/>
  <c r="G22" i="53" s="1"/>
  <c r="K28" i="53" s="1"/>
  <c r="R47" i="53"/>
  <c r="S36" i="53"/>
  <c r="G56" i="53"/>
  <c r="T17" i="53"/>
  <c r="R44" i="53"/>
  <c r="S44" i="53" s="1"/>
  <c r="T44" i="53" s="1"/>
  <c r="G45" i="53"/>
  <c r="F21" i="53"/>
  <c r="G21" i="53" s="1"/>
  <c r="R40" i="53"/>
  <c r="S40" i="53" s="1"/>
  <c r="T40" i="53" s="1"/>
  <c r="G61" i="53"/>
  <c r="K67" i="53" s="1"/>
  <c r="T16" i="53"/>
  <c r="T42" i="53"/>
  <c r="R48" i="53"/>
  <c r="S48" i="53" s="1"/>
  <c r="T48" i="53" s="1"/>
  <c r="G80" i="53"/>
  <c r="T37" i="53"/>
  <c r="G46" i="53"/>
  <c r="G53" i="53"/>
  <c r="G87" i="53"/>
  <c r="K93" i="53" s="1"/>
  <c r="T18" i="53"/>
  <c r="T38" i="53"/>
  <c r="G16" i="53"/>
  <c r="E82" i="53"/>
  <c r="F82" i="53" s="1"/>
  <c r="G82" i="53" s="1"/>
  <c r="E76" i="53"/>
  <c r="F76" i="53" s="1"/>
  <c r="G76" i="53" s="1"/>
  <c r="G17" i="53"/>
  <c r="G41" i="53"/>
  <c r="G54" i="53"/>
  <c r="D83" i="53"/>
  <c r="F83" i="53" s="1"/>
  <c r="G83" i="53" s="1"/>
  <c r="G18" i="53"/>
  <c r="E44" i="53"/>
  <c r="F44" i="53" s="1"/>
  <c r="G44" i="53" s="1"/>
  <c r="D79" i="53"/>
  <c r="F79" i="53" s="1"/>
  <c r="G79" i="53" s="1"/>
  <c r="T62" i="53"/>
  <c r="X65" i="53" s="1"/>
  <c r="B109" i="53" s="1"/>
  <c r="B110" i="53" s="1"/>
  <c r="G14" i="53"/>
  <c r="F37" i="53"/>
  <c r="S43" i="53"/>
  <c r="T43" i="53" s="1"/>
  <c r="Q49" i="53"/>
  <c r="S49" i="53" s="1"/>
  <c r="T49" i="53" s="1"/>
  <c r="X55" i="53" s="1"/>
  <c r="T19" i="53"/>
  <c r="T39" i="53"/>
  <c r="G97" i="53"/>
  <c r="B102" i="53" s="1"/>
  <c r="E59" i="53"/>
  <c r="F59" i="53" s="1"/>
  <c r="G59" i="53" s="1"/>
  <c r="G77" i="53"/>
  <c r="D12" i="53"/>
  <c r="F12" i="53" s="1"/>
  <c r="G98" i="53"/>
  <c r="G105" i="53" s="1"/>
  <c r="T15" i="53"/>
  <c r="Q46" i="53"/>
  <c r="S46" i="53" s="1"/>
  <c r="T46" i="53" s="1"/>
  <c r="D13" i="53"/>
  <c r="F13" i="53" s="1"/>
  <c r="D84" i="53"/>
  <c r="F84" i="53" s="1"/>
  <c r="G84" i="53" s="1"/>
  <c r="Q47" i="53"/>
  <c r="S47" i="53" s="1"/>
  <c r="T47" i="53" s="1"/>
  <c r="F45" i="58"/>
  <c r="H40" i="58"/>
  <c r="H45" i="58" s="1"/>
  <c r="G12" i="58"/>
  <c r="T61" i="55"/>
  <c r="B111" i="55" s="1"/>
  <c r="B112" i="55" s="1"/>
  <c r="T40" i="55"/>
  <c r="T39" i="55"/>
  <c r="T22" i="55"/>
  <c r="X28" i="55" s="1"/>
  <c r="T20" i="55"/>
  <c r="X27" i="55" s="1"/>
  <c r="T19" i="55"/>
  <c r="G51" i="55"/>
  <c r="G39" i="55"/>
  <c r="K64" i="55" s="1"/>
  <c r="X66" i="55"/>
  <c r="B113" i="55" s="1"/>
  <c r="B114" i="55" s="1"/>
  <c r="O65" i="55"/>
  <c r="T15" i="55"/>
  <c r="X25" i="55" s="1"/>
  <c r="Q48" i="55"/>
  <c r="S48" i="55" s="1"/>
  <c r="T48" i="55" s="1"/>
  <c r="Q43" i="55"/>
  <c r="S43" i="55" s="1"/>
  <c r="T43" i="55" s="1"/>
  <c r="Q45" i="55"/>
  <c r="S45" i="55" s="1"/>
  <c r="T45" i="55" s="1"/>
  <c r="Q47" i="55"/>
  <c r="S47" i="55" s="1"/>
  <c r="T47" i="55" s="1"/>
  <c r="Q36" i="55"/>
  <c r="S36" i="55" s="1"/>
  <c r="Q49" i="55"/>
  <c r="S49" i="55" s="1"/>
  <c r="T49" i="55" s="1"/>
  <c r="X55" i="55" s="1"/>
  <c r="Q35" i="55"/>
  <c r="S35" i="55" s="1"/>
  <c r="T18" i="55"/>
  <c r="T44" i="55"/>
  <c r="T41" i="55"/>
  <c r="Q22" i="55"/>
  <c r="R37" i="55"/>
  <c r="S37" i="55" s="1"/>
  <c r="T37" i="55" s="1"/>
  <c r="T61" i="56"/>
  <c r="T60" i="56"/>
  <c r="T42" i="56"/>
  <c r="T17" i="56"/>
  <c r="T14" i="56"/>
  <c r="X66" i="56"/>
  <c r="B113" i="56" s="1"/>
  <c r="B114" i="56" s="1"/>
  <c r="O65" i="56"/>
  <c r="Y65" i="56" s="1"/>
  <c r="T18" i="56"/>
  <c r="X26" i="56" s="1"/>
  <c r="T44" i="56"/>
  <c r="T41" i="56"/>
  <c r="X53" i="56" s="1"/>
  <c r="T15" i="56"/>
  <c r="Q48" i="56"/>
  <c r="S48" i="56" s="1"/>
  <c r="T48" i="56" s="1"/>
  <c r="Q43" i="56"/>
  <c r="S43" i="56" s="1"/>
  <c r="T43" i="56" s="1"/>
  <c r="Q45" i="56"/>
  <c r="S45" i="56" s="1"/>
  <c r="T45" i="56" s="1"/>
  <c r="Q47" i="56"/>
  <c r="S47" i="56" s="1"/>
  <c r="T47" i="56" s="1"/>
  <c r="Q36" i="56"/>
  <c r="S36" i="56" s="1"/>
  <c r="Q49" i="56"/>
  <c r="S49" i="56" s="1"/>
  <c r="T49" i="56" s="1"/>
  <c r="X55" i="56" s="1"/>
  <c r="Q35" i="56"/>
  <c r="S35" i="56" s="1"/>
  <c r="Q22" i="56"/>
  <c r="R37" i="56"/>
  <c r="S37" i="56" s="1"/>
  <c r="T37" i="56" s="1"/>
  <c r="T16" i="54"/>
  <c r="T15" i="54"/>
  <c r="X25" i="54" s="1"/>
  <c r="T47" i="54"/>
  <c r="T41" i="54"/>
  <c r="X53" i="54" s="1"/>
  <c r="T39" i="54"/>
  <c r="X54" i="54"/>
  <c r="X66" i="54"/>
  <c r="B113" i="54" s="1"/>
  <c r="B114" i="54" s="1"/>
  <c r="O65" i="54"/>
  <c r="X26" i="54"/>
  <c r="Y67" i="54"/>
  <c r="Q35" i="54"/>
  <c r="S35" i="54" s="1"/>
  <c r="R37" i="54"/>
  <c r="S37" i="54" s="1"/>
  <c r="T37" i="54" s="1"/>
  <c r="Q20" i="54"/>
  <c r="S20" i="54" s="1"/>
  <c r="T20" i="54" s="1"/>
  <c r="X27" i="54" s="1"/>
  <c r="Q20" i="53"/>
  <c r="S20" i="53" s="1"/>
  <c r="T20" i="53" s="1"/>
  <c r="Q21" i="53"/>
  <c r="S21" i="53" s="1"/>
  <c r="T21" i="53" s="1"/>
  <c r="S22" i="53"/>
  <c r="T22" i="53" s="1"/>
  <c r="X28" i="53" s="1"/>
  <c r="T61" i="53"/>
  <c r="B111" i="53" s="1"/>
  <c r="S59" i="53"/>
  <c r="K65" i="52"/>
  <c r="G60" i="52"/>
  <c r="K66" i="52" s="1"/>
  <c r="Q35" i="53"/>
  <c r="S35" i="53" s="1"/>
  <c r="G98" i="55"/>
  <c r="G105" i="55" s="1"/>
  <c r="K25" i="56"/>
  <c r="F60" i="56"/>
  <c r="G60" i="56" s="1"/>
  <c r="F51" i="56"/>
  <c r="G51" i="56" s="1"/>
  <c r="K65" i="56" s="1"/>
  <c r="G97" i="56"/>
  <c r="B102" i="56" s="1"/>
  <c r="E75" i="56"/>
  <c r="F75" i="56" s="1"/>
  <c r="G75" i="56" s="1"/>
  <c r="E78" i="56"/>
  <c r="F78" i="56" s="1"/>
  <c r="G78" i="56" s="1"/>
  <c r="E40" i="56"/>
  <c r="F40" i="56" s="1"/>
  <c r="G40" i="56" s="1"/>
  <c r="E43" i="56"/>
  <c r="F43" i="56" s="1"/>
  <c r="G43" i="56" s="1"/>
  <c r="E51" i="56"/>
  <c r="E56" i="56"/>
  <c r="F56" i="56" s="1"/>
  <c r="G56" i="56" s="1"/>
  <c r="D81" i="56"/>
  <c r="F81" i="56" s="1"/>
  <c r="G81" i="56" s="1"/>
  <c r="D86" i="56"/>
  <c r="F86" i="56" s="1"/>
  <c r="G86" i="56" s="1"/>
  <c r="D12" i="56"/>
  <c r="F12" i="56" s="1"/>
  <c r="D13" i="56"/>
  <c r="F13" i="56" s="1"/>
  <c r="D22" i="56"/>
  <c r="F22" i="56" s="1"/>
  <c r="G22" i="56" s="1"/>
  <c r="K28" i="56" s="1"/>
  <c r="E81" i="56"/>
  <c r="E86" i="56"/>
  <c r="D84" i="56"/>
  <c r="F84" i="56" s="1"/>
  <c r="G84" i="56" s="1"/>
  <c r="K92" i="56" s="1"/>
  <c r="D79" i="56"/>
  <c r="F79" i="56" s="1"/>
  <c r="G79" i="56" s="1"/>
  <c r="D20" i="56"/>
  <c r="F20" i="56" s="1"/>
  <c r="G20" i="56" s="1"/>
  <c r="K27" i="56" s="1"/>
  <c r="E59" i="56"/>
  <c r="F59" i="56" s="1"/>
  <c r="G59" i="56" s="1"/>
  <c r="E44" i="56"/>
  <c r="F44" i="56" s="1"/>
  <c r="G44" i="56" s="1"/>
  <c r="E52" i="56"/>
  <c r="F52" i="56" s="1"/>
  <c r="G52" i="56" s="1"/>
  <c r="E55" i="56"/>
  <c r="F55" i="56" s="1"/>
  <c r="G55" i="56" s="1"/>
  <c r="K66" i="56" s="1"/>
  <c r="D74" i="56"/>
  <c r="F74" i="56" s="1"/>
  <c r="D85" i="56"/>
  <c r="F85" i="56" s="1"/>
  <c r="G85" i="56" s="1"/>
  <c r="E82" i="56"/>
  <c r="F82" i="56" s="1"/>
  <c r="G82" i="56" s="1"/>
  <c r="F38" i="56"/>
  <c r="E39" i="56"/>
  <c r="F39" i="56" s="1"/>
  <c r="G39" i="56" s="1"/>
  <c r="E60" i="56"/>
  <c r="D86" i="53"/>
  <c r="F86" i="53"/>
  <c r="G86" i="53" s="1"/>
  <c r="D13" i="55"/>
  <c r="F13" i="55" s="1"/>
  <c r="F20" i="55"/>
  <c r="G20" i="55" s="1"/>
  <c r="K27" i="55" s="1"/>
  <c r="D85" i="55"/>
  <c r="F85" i="55" s="1"/>
  <c r="G85" i="55" s="1"/>
  <c r="D81" i="55"/>
  <c r="F81" i="55" s="1"/>
  <c r="G81" i="55" s="1"/>
  <c r="K91" i="55" s="1"/>
  <c r="D86" i="55"/>
  <c r="F86" i="55" s="1"/>
  <c r="G86" i="55" s="1"/>
  <c r="K25" i="55"/>
  <c r="G84" i="55"/>
  <c r="F47" i="55"/>
  <c r="G47" i="55" s="1"/>
  <c r="K65" i="55" s="1"/>
  <c r="G54" i="55"/>
  <c r="K66" i="55" s="1"/>
  <c r="F57" i="55"/>
  <c r="G57" i="55" s="1"/>
  <c r="F22" i="55"/>
  <c r="G22" i="55" s="1"/>
  <c r="K28" i="55" s="1"/>
  <c r="E55" i="55"/>
  <c r="F55" i="55" s="1"/>
  <c r="G55" i="55" s="1"/>
  <c r="E47" i="55"/>
  <c r="G76" i="55"/>
  <c r="E48" i="55"/>
  <c r="F48" i="55" s="1"/>
  <c r="G48" i="55" s="1"/>
  <c r="E50" i="55"/>
  <c r="F50" i="55" s="1"/>
  <c r="G50" i="55" s="1"/>
  <c r="E57" i="55"/>
  <c r="E49" i="55"/>
  <c r="F49" i="55" s="1"/>
  <c r="G49" i="55" s="1"/>
  <c r="E75" i="55"/>
  <c r="F75" i="55" s="1"/>
  <c r="G75" i="55" s="1"/>
  <c r="D73" i="55"/>
  <c r="F73" i="55" s="1"/>
  <c r="D87" i="55"/>
  <c r="F87" i="55" s="1"/>
  <c r="G87" i="55" s="1"/>
  <c r="K93" i="55" s="1"/>
  <c r="D74" i="55"/>
  <c r="F74" i="55" s="1"/>
  <c r="G104" i="54"/>
  <c r="D6" i="54" s="1"/>
  <c r="G103" i="54"/>
  <c r="G102" i="54"/>
  <c r="B6" i="54"/>
  <c r="G52" i="54"/>
  <c r="G84" i="54"/>
  <c r="G44" i="54"/>
  <c r="E40" i="54"/>
  <c r="F40" i="54" s="1"/>
  <c r="G40" i="54" s="1"/>
  <c r="F49" i="54"/>
  <c r="G49" i="54" s="1"/>
  <c r="G76" i="54"/>
  <c r="K90" i="54" s="1"/>
  <c r="F20" i="54"/>
  <c r="G20" i="54" s="1"/>
  <c r="G41" i="54"/>
  <c r="G17" i="54"/>
  <c r="B25" i="54" s="1"/>
  <c r="F59" i="54"/>
  <c r="G59" i="54" s="1"/>
  <c r="E58" i="54"/>
  <c r="F58" i="54" s="1"/>
  <c r="G58" i="54" s="1"/>
  <c r="E50" i="54"/>
  <c r="F50" i="54" s="1"/>
  <c r="G50" i="54" s="1"/>
  <c r="E57" i="54"/>
  <c r="F57" i="54" s="1"/>
  <c r="G57" i="54" s="1"/>
  <c r="K25" i="54"/>
  <c r="K26" i="54"/>
  <c r="F37" i="54"/>
  <c r="E43" i="54"/>
  <c r="F43" i="54" s="1"/>
  <c r="G43" i="54" s="1"/>
  <c r="G79" i="54"/>
  <c r="E82" i="54"/>
  <c r="F82" i="54" s="1"/>
  <c r="G82" i="54" s="1"/>
  <c r="D87" i="54"/>
  <c r="F87" i="54" s="1"/>
  <c r="G87" i="54" s="1"/>
  <c r="K93" i="54" s="1"/>
  <c r="E47" i="54"/>
  <c r="F47" i="54" s="1"/>
  <c r="G47" i="54" s="1"/>
  <c r="E55" i="54"/>
  <c r="F55" i="54" s="1"/>
  <c r="G55" i="54" s="1"/>
  <c r="K66" i="54" s="1"/>
  <c r="D60" i="54"/>
  <c r="F60" i="54" s="1"/>
  <c r="G60" i="54" s="1"/>
  <c r="D74" i="54"/>
  <c r="F74" i="54" s="1"/>
  <c r="D85" i="54"/>
  <c r="D21" i="54"/>
  <c r="F21" i="54" s="1"/>
  <c r="G21" i="54" s="1"/>
  <c r="D35" i="54"/>
  <c r="F35" i="54" s="1"/>
  <c r="E39" i="54"/>
  <c r="F39" i="54" s="1"/>
  <c r="G39" i="54" s="1"/>
  <c r="D45" i="54"/>
  <c r="F45" i="54" s="1"/>
  <c r="G45" i="54" s="1"/>
  <c r="E60" i="54"/>
  <c r="E85" i="54"/>
  <c r="D73" i="54"/>
  <c r="F73" i="54" s="1"/>
  <c r="F57" i="53"/>
  <c r="G57" i="53" s="1"/>
  <c r="E49" i="53"/>
  <c r="F49" i="53" s="1"/>
  <c r="G49" i="53" s="1"/>
  <c r="E47" i="53"/>
  <c r="F47" i="53" s="1"/>
  <c r="G47" i="53" s="1"/>
  <c r="E50" i="53"/>
  <c r="F50" i="53" s="1"/>
  <c r="G50" i="53" s="1"/>
  <c r="E85" i="53"/>
  <c r="F85" i="53" s="1"/>
  <c r="G85" i="53" s="1"/>
  <c r="E57" i="53"/>
  <c r="E55" i="53"/>
  <c r="F55" i="53" s="1"/>
  <c r="G55" i="53" s="1"/>
  <c r="E39" i="53"/>
  <c r="F39" i="53" s="1"/>
  <c r="G39" i="53" s="1"/>
  <c r="E42" i="53"/>
  <c r="F42" i="53" s="1"/>
  <c r="G42" i="53" s="1"/>
  <c r="E60" i="53"/>
  <c r="F60" i="53" s="1"/>
  <c r="G60" i="53" s="1"/>
  <c r="E48" i="53"/>
  <c r="F48" i="53" s="1"/>
  <c r="G48" i="53" s="1"/>
  <c r="E58" i="53"/>
  <c r="F58" i="53" s="1"/>
  <c r="G58" i="53" s="1"/>
  <c r="E78" i="53"/>
  <c r="F78" i="53" s="1"/>
  <c r="G78" i="53" s="1"/>
  <c r="F36" i="53"/>
  <c r="E40" i="53"/>
  <c r="F40" i="53" s="1"/>
  <c r="G40" i="53" s="1"/>
  <c r="E51" i="53"/>
  <c r="F51" i="53" s="1"/>
  <c r="G51" i="53" s="1"/>
  <c r="E81" i="53"/>
  <c r="F81" i="53" s="1"/>
  <c r="G81" i="53" s="1"/>
  <c r="C52" i="58" l="1"/>
  <c r="C63" i="58"/>
  <c r="C117" i="54"/>
  <c r="C50" i="58"/>
  <c r="C61" i="58"/>
  <c r="Y67" i="56"/>
  <c r="B111" i="56"/>
  <c r="D52" i="58"/>
  <c r="D63" i="58"/>
  <c r="E51" i="58"/>
  <c r="E62" i="58"/>
  <c r="C117" i="55"/>
  <c r="E50" i="58"/>
  <c r="E61" i="58"/>
  <c r="E52" i="58"/>
  <c r="E63" i="58"/>
  <c r="C116" i="55"/>
  <c r="C117" i="53"/>
  <c r="B61" i="58"/>
  <c r="B50" i="58"/>
  <c r="C116" i="53"/>
  <c r="C121" i="53" s="1"/>
  <c r="B112" i="53"/>
  <c r="B52" i="58"/>
  <c r="B63" i="58"/>
  <c r="K25" i="53"/>
  <c r="X53" i="53"/>
  <c r="X25" i="53"/>
  <c r="O65" i="53"/>
  <c r="Y67" i="53" s="1"/>
  <c r="O52" i="53"/>
  <c r="Y54" i="53" s="1"/>
  <c r="K91" i="53"/>
  <c r="K26" i="53"/>
  <c r="X26" i="53"/>
  <c r="X52" i="53"/>
  <c r="Y52" i="53" s="1"/>
  <c r="B25" i="53"/>
  <c r="L28" i="53" s="1"/>
  <c r="K27" i="53"/>
  <c r="L27" i="53" s="1"/>
  <c r="K65" i="53"/>
  <c r="K90" i="53"/>
  <c r="K66" i="53"/>
  <c r="Y65" i="53"/>
  <c r="Y67" i="55"/>
  <c r="Y65" i="55"/>
  <c r="X26" i="55"/>
  <c r="B102" i="55"/>
  <c r="G102" i="55" s="1"/>
  <c r="X54" i="55"/>
  <c r="X52" i="55"/>
  <c r="O52" i="55"/>
  <c r="X53" i="55"/>
  <c r="Y53" i="55" s="1"/>
  <c r="T67" i="55"/>
  <c r="Q6" i="55" s="1"/>
  <c r="T66" i="55"/>
  <c r="T65" i="55"/>
  <c r="O6" i="55"/>
  <c r="Y66" i="55"/>
  <c r="O25" i="55"/>
  <c r="X25" i="56"/>
  <c r="X52" i="56"/>
  <c r="O52" i="56"/>
  <c r="Y55" i="56" s="1"/>
  <c r="T67" i="56"/>
  <c r="Q6" i="56" s="1"/>
  <c r="T66" i="56"/>
  <c r="T65" i="56"/>
  <c r="O6" i="56"/>
  <c r="Y66" i="56"/>
  <c r="X54" i="56"/>
  <c r="O25" i="56"/>
  <c r="Y26" i="56" s="1"/>
  <c r="Y55" i="53"/>
  <c r="O25" i="54"/>
  <c r="Y28" i="54" s="1"/>
  <c r="T67" i="54"/>
  <c r="Q6" i="54" s="1"/>
  <c r="T66" i="54"/>
  <c r="T65" i="54"/>
  <c r="O6" i="54"/>
  <c r="Y66" i="54"/>
  <c r="Y65" i="54"/>
  <c r="O52" i="54"/>
  <c r="Y53" i="54" s="1"/>
  <c r="X52" i="54"/>
  <c r="X27" i="53"/>
  <c r="O25" i="53"/>
  <c r="T28" i="53" s="1"/>
  <c r="Y28" i="53"/>
  <c r="T65" i="53"/>
  <c r="T66" i="53"/>
  <c r="T67" i="53"/>
  <c r="Q6" i="53" s="1"/>
  <c r="B65" i="52"/>
  <c r="T53" i="53"/>
  <c r="T52" i="53"/>
  <c r="T54" i="53"/>
  <c r="K91" i="56"/>
  <c r="L91" i="56" s="1"/>
  <c r="B25" i="56"/>
  <c r="L28" i="56" s="1"/>
  <c r="K64" i="56"/>
  <c r="B64" i="56"/>
  <c r="B90" i="56"/>
  <c r="K90" i="56"/>
  <c r="L90" i="56" s="1"/>
  <c r="B6" i="56"/>
  <c r="G104" i="56"/>
  <c r="D6" i="56" s="1"/>
  <c r="G103" i="56"/>
  <c r="G102" i="56"/>
  <c r="K92" i="53"/>
  <c r="K92" i="55"/>
  <c r="K90" i="55"/>
  <c r="B90" i="55"/>
  <c r="B25" i="55"/>
  <c r="L25" i="55" s="1"/>
  <c r="B64" i="55"/>
  <c r="L64" i="55" s="1"/>
  <c r="L66" i="54"/>
  <c r="G26" i="54"/>
  <c r="G25" i="54"/>
  <c r="G28" i="54"/>
  <c r="G27" i="54"/>
  <c r="L28" i="54"/>
  <c r="L25" i="54"/>
  <c r="B90" i="54"/>
  <c r="L93" i="54"/>
  <c r="K91" i="54"/>
  <c r="K65" i="54"/>
  <c r="K64" i="54"/>
  <c r="B64" i="54"/>
  <c r="L26" i="54"/>
  <c r="K27" i="54"/>
  <c r="F85" i="54"/>
  <c r="G85" i="54" s="1"/>
  <c r="K92" i="54" s="1"/>
  <c r="L92" i="54" s="1"/>
  <c r="B90" i="53"/>
  <c r="L91" i="53" s="1"/>
  <c r="B6" i="53"/>
  <c r="G103" i="53"/>
  <c r="G104" i="53"/>
  <c r="D6" i="53" s="1"/>
  <c r="B10" i="58" s="1"/>
  <c r="G102" i="53"/>
  <c r="G26" i="53"/>
  <c r="G25" i="53"/>
  <c r="B64" i="53"/>
  <c r="L66" i="53" s="1"/>
  <c r="K64" i="53"/>
  <c r="F35" i="52"/>
  <c r="C10" i="52"/>
  <c r="G33" i="52"/>
  <c r="D47" i="52" s="1"/>
  <c r="C49" i="52"/>
  <c r="C48" i="52"/>
  <c r="C47" i="52"/>
  <c r="E46" i="52"/>
  <c r="C46" i="52"/>
  <c r="E45" i="52"/>
  <c r="C45" i="52"/>
  <c r="C44" i="52"/>
  <c r="C43" i="52"/>
  <c r="E42" i="52"/>
  <c r="F42" i="52" s="1"/>
  <c r="C42" i="52"/>
  <c r="E41" i="52"/>
  <c r="C41" i="52"/>
  <c r="C40" i="52"/>
  <c r="E39" i="52"/>
  <c r="F39" i="52" s="1"/>
  <c r="C39" i="52"/>
  <c r="C38" i="52"/>
  <c r="C37" i="52"/>
  <c r="E48" i="52"/>
  <c r="E22" i="52"/>
  <c r="C22" i="52"/>
  <c r="E21" i="52"/>
  <c r="F21" i="52" s="1"/>
  <c r="C21" i="52"/>
  <c r="E20" i="52"/>
  <c r="F20" i="52" s="1"/>
  <c r="C20" i="52"/>
  <c r="E19" i="52"/>
  <c r="F19" i="52" s="1"/>
  <c r="C19" i="52"/>
  <c r="E18" i="52"/>
  <c r="F18" i="52" s="1"/>
  <c r="C18" i="52"/>
  <c r="E17" i="52"/>
  <c r="F17" i="52" s="1"/>
  <c r="C17" i="52"/>
  <c r="E16" i="52"/>
  <c r="F16" i="52" s="1"/>
  <c r="C16" i="52"/>
  <c r="F15" i="52"/>
  <c r="C15" i="52"/>
  <c r="E14" i="52"/>
  <c r="F14" i="52" s="1"/>
  <c r="C14" i="52"/>
  <c r="F13" i="52"/>
  <c r="F12" i="52"/>
  <c r="H10" i="52"/>
  <c r="Y68" i="56" l="1"/>
  <c r="C54" i="58"/>
  <c r="B112" i="56"/>
  <c r="C116" i="56"/>
  <c r="E54" i="58"/>
  <c r="B62" i="58"/>
  <c r="B51" i="58"/>
  <c r="B54" i="58" s="1"/>
  <c r="L64" i="53"/>
  <c r="Y53" i="53"/>
  <c r="L25" i="53"/>
  <c r="G27" i="53"/>
  <c r="O6" i="53"/>
  <c r="Y66" i="53"/>
  <c r="Y68" i="53" s="1"/>
  <c r="G28" i="53"/>
  <c r="B43" i="58"/>
  <c r="J10" i="58"/>
  <c r="L26" i="53"/>
  <c r="Y68" i="55"/>
  <c r="Y26" i="55"/>
  <c r="G103" i="55"/>
  <c r="G104" i="55"/>
  <c r="D6" i="55" s="1"/>
  <c r="B6" i="55"/>
  <c r="T53" i="55"/>
  <c r="T52" i="55"/>
  <c r="T54" i="55"/>
  <c r="Y52" i="55"/>
  <c r="Y55" i="55"/>
  <c r="Y54" i="55"/>
  <c r="T28" i="55"/>
  <c r="O3" i="55"/>
  <c r="T27" i="55"/>
  <c r="T26" i="55"/>
  <c r="T25" i="55"/>
  <c r="Y27" i="55"/>
  <c r="Y28" i="55"/>
  <c r="Y25" i="55"/>
  <c r="T53" i="56"/>
  <c r="T52" i="56"/>
  <c r="T54" i="56"/>
  <c r="Y52" i="56"/>
  <c r="T28" i="56"/>
  <c r="O3" i="56"/>
  <c r="T27" i="56"/>
  <c r="T26" i="56"/>
  <c r="T25" i="56"/>
  <c r="Y27" i="56"/>
  <c r="Y28" i="56"/>
  <c r="Y53" i="56"/>
  <c r="Y54" i="56"/>
  <c r="Y25" i="56"/>
  <c r="Y56" i="53"/>
  <c r="Q3" i="53"/>
  <c r="Q8" i="53" s="1"/>
  <c r="D7" i="53" s="1"/>
  <c r="B11" i="58" s="1"/>
  <c r="T28" i="54"/>
  <c r="Y25" i="54"/>
  <c r="Y27" i="54"/>
  <c r="T25" i="54"/>
  <c r="T26" i="54"/>
  <c r="T27" i="54"/>
  <c r="Y26" i="54"/>
  <c r="Y52" i="54"/>
  <c r="Y54" i="54"/>
  <c r="O3" i="54"/>
  <c r="O8" i="54" s="1"/>
  <c r="T53" i="54"/>
  <c r="T52" i="54"/>
  <c r="T54" i="54"/>
  <c r="Q3" i="54" s="1"/>
  <c r="Q8" i="54" s="1"/>
  <c r="D7" i="54" s="1"/>
  <c r="Y55" i="54"/>
  <c r="Y68" i="54"/>
  <c r="T25" i="53"/>
  <c r="T26" i="53"/>
  <c r="T27" i="53"/>
  <c r="Y27" i="53"/>
  <c r="O3" i="53"/>
  <c r="O8" i="53" s="1"/>
  <c r="Y26" i="53"/>
  <c r="Y25" i="53"/>
  <c r="Y29" i="53" s="1"/>
  <c r="B6" i="52"/>
  <c r="L67" i="52"/>
  <c r="G67" i="52"/>
  <c r="D6" i="52" s="1"/>
  <c r="G65" i="52"/>
  <c r="G66" i="52"/>
  <c r="L65" i="52"/>
  <c r="L66" i="52"/>
  <c r="L25" i="56"/>
  <c r="L29" i="56" s="1"/>
  <c r="L94" i="56"/>
  <c r="G26" i="56"/>
  <c r="G25" i="56"/>
  <c r="G28" i="56"/>
  <c r="B3" i="56"/>
  <c r="G27" i="56"/>
  <c r="L26" i="56"/>
  <c r="G65" i="56"/>
  <c r="G64" i="56"/>
  <c r="G66" i="56"/>
  <c r="L67" i="56"/>
  <c r="L27" i="56"/>
  <c r="G90" i="56"/>
  <c r="G92" i="56"/>
  <c r="G91" i="56"/>
  <c r="L93" i="56"/>
  <c r="L65" i="56"/>
  <c r="L92" i="56"/>
  <c r="L64" i="56"/>
  <c r="L68" i="56" s="1"/>
  <c r="L66" i="56"/>
  <c r="L28" i="55"/>
  <c r="L92" i="55"/>
  <c r="L90" i="55"/>
  <c r="L93" i="55"/>
  <c r="G65" i="55"/>
  <c r="G64" i="55"/>
  <c r="G66" i="55"/>
  <c r="L67" i="55"/>
  <c r="L65" i="55"/>
  <c r="G25" i="55"/>
  <c r="G28" i="55"/>
  <c r="G27" i="55"/>
  <c r="G26" i="55"/>
  <c r="B3" i="55"/>
  <c r="L27" i="55"/>
  <c r="L26" i="55"/>
  <c r="G92" i="55"/>
  <c r="G91" i="55"/>
  <c r="G90" i="55"/>
  <c r="L91" i="55"/>
  <c r="L66" i="55"/>
  <c r="G90" i="54"/>
  <c r="G92" i="54"/>
  <c r="G91" i="54"/>
  <c r="L27" i="54"/>
  <c r="L29" i="54"/>
  <c r="L90" i="54"/>
  <c r="L94" i="54" s="1"/>
  <c r="G66" i="54"/>
  <c r="D3" i="54" s="1"/>
  <c r="G65" i="54"/>
  <c r="G64" i="54"/>
  <c r="L67" i="54"/>
  <c r="L64" i="54"/>
  <c r="L68" i="54" s="1"/>
  <c r="L65" i="54"/>
  <c r="B3" i="54"/>
  <c r="L91" i="54"/>
  <c r="G66" i="53"/>
  <c r="G65" i="53"/>
  <c r="G64" i="53"/>
  <c r="L67" i="53"/>
  <c r="L68" i="53" s="1"/>
  <c r="G91" i="53"/>
  <c r="G90" i="53"/>
  <c r="G92" i="53"/>
  <c r="L93" i="53"/>
  <c r="B3" i="53"/>
  <c r="L90" i="53"/>
  <c r="L65" i="53"/>
  <c r="L92" i="53"/>
  <c r="D48" i="52"/>
  <c r="G14" i="52"/>
  <c r="D41" i="52"/>
  <c r="F41" i="52" s="1"/>
  <c r="G41" i="52" s="1"/>
  <c r="D49" i="52"/>
  <c r="F49" i="52" s="1"/>
  <c r="G49" i="52" s="1"/>
  <c r="K55" i="52" s="1"/>
  <c r="B8" i="52"/>
  <c r="C6" i="52" s="1"/>
  <c r="D35" i="52"/>
  <c r="G42" i="52"/>
  <c r="G17" i="52"/>
  <c r="G18" i="52"/>
  <c r="E44" i="52"/>
  <c r="F44" i="52" s="1"/>
  <c r="G44" i="52" s="1"/>
  <c r="G16" i="52"/>
  <c r="K25" i="52" s="1"/>
  <c r="G22" i="52"/>
  <c r="K28" i="52" s="1"/>
  <c r="G19" i="52"/>
  <c r="G39" i="52"/>
  <c r="E43" i="52"/>
  <c r="G20" i="52"/>
  <c r="E40" i="52"/>
  <c r="F40" i="52" s="1"/>
  <c r="G40" i="52" s="1"/>
  <c r="G15" i="52"/>
  <c r="G21" i="52"/>
  <c r="E47" i="52"/>
  <c r="F47" i="52" s="1"/>
  <c r="G47" i="52" s="1"/>
  <c r="D46" i="52"/>
  <c r="F46" i="52" s="1"/>
  <c r="G46" i="52" s="1"/>
  <c r="D36" i="52"/>
  <c r="F36" i="52" s="1"/>
  <c r="F48" i="52"/>
  <c r="G48" i="52" s="1"/>
  <c r="D43" i="52"/>
  <c r="D45" i="52"/>
  <c r="F45" i="52" s="1"/>
  <c r="G45" i="52" s="1"/>
  <c r="E38" i="52"/>
  <c r="F38" i="52" s="1"/>
  <c r="G38" i="52" s="1"/>
  <c r="F37" i="52"/>
  <c r="G37" i="52" s="1"/>
  <c r="G47" i="17"/>
  <c r="H47" i="17" s="1"/>
  <c r="F47" i="17"/>
  <c r="H46" i="17"/>
  <c r="H45" i="17"/>
  <c r="G46" i="17"/>
  <c r="G45" i="17"/>
  <c r="F46" i="17"/>
  <c r="F45" i="17"/>
  <c r="E46" i="17"/>
  <c r="D46" i="17"/>
  <c r="D51" i="58" l="1"/>
  <c r="D54" i="58" s="1"/>
  <c r="D62" i="58"/>
  <c r="C117" i="56"/>
  <c r="J11" i="58"/>
  <c r="B44" i="58"/>
  <c r="D3" i="53"/>
  <c r="Q3" i="55"/>
  <c r="Q8" i="55" s="1"/>
  <c r="D7" i="55" s="1"/>
  <c r="L68" i="55"/>
  <c r="O8" i="55"/>
  <c r="Y56" i="55"/>
  <c r="Y29" i="55"/>
  <c r="Q3" i="56"/>
  <c r="Q8" i="56" s="1"/>
  <c r="D7" i="56" s="1"/>
  <c r="D8" i="56" s="1"/>
  <c r="Y56" i="56"/>
  <c r="O8" i="56"/>
  <c r="Y29" i="56"/>
  <c r="P6" i="53"/>
  <c r="B7" i="53"/>
  <c r="B8" i="53" s="1"/>
  <c r="C6" i="53" s="1"/>
  <c r="C10" i="58" s="1"/>
  <c r="C43" i="58" s="1"/>
  <c r="Y29" i="54"/>
  <c r="P3" i="54"/>
  <c r="B7" i="54"/>
  <c r="Y56" i="54"/>
  <c r="P6" i="54"/>
  <c r="L68" i="52"/>
  <c r="D8" i="52"/>
  <c r="P3" i="53"/>
  <c r="D3" i="56"/>
  <c r="L29" i="55"/>
  <c r="L94" i="55"/>
  <c r="D3" i="55"/>
  <c r="C6" i="54"/>
  <c r="C3" i="54"/>
  <c r="L94" i="53"/>
  <c r="C3" i="52"/>
  <c r="K26" i="52"/>
  <c r="K27" i="52"/>
  <c r="B25" i="52"/>
  <c r="F43" i="52"/>
  <c r="G43" i="52" s="1"/>
  <c r="K54" i="52"/>
  <c r="B52" i="52"/>
  <c r="L55" i="52" s="1"/>
  <c r="K52" i="52"/>
  <c r="L52" i="52" s="1"/>
  <c r="C3" i="53" l="1"/>
  <c r="D8" i="53"/>
  <c r="B8" i="58"/>
  <c r="C7" i="53"/>
  <c r="C11" i="58" s="1"/>
  <c r="C44" i="58" s="1"/>
  <c r="B108" i="53"/>
  <c r="A84" i="58" a="1"/>
  <c r="A84" i="58" s="1"/>
  <c r="P6" i="55"/>
  <c r="B7" i="55"/>
  <c r="D8" i="55"/>
  <c r="P3" i="55"/>
  <c r="P6" i="56"/>
  <c r="B7" i="56"/>
  <c r="P3" i="56"/>
  <c r="G25" i="52"/>
  <c r="G28" i="52"/>
  <c r="G27" i="52"/>
  <c r="G26" i="52"/>
  <c r="L54" i="52"/>
  <c r="L28" i="52"/>
  <c r="K53" i="52"/>
  <c r="L53" i="52" s="1"/>
  <c r="L56" i="52" s="1"/>
  <c r="L27" i="52"/>
  <c r="L26" i="52"/>
  <c r="L25" i="52"/>
  <c r="G54" i="52"/>
  <c r="G53" i="52"/>
  <c r="G52" i="52"/>
  <c r="B41" i="58" l="1"/>
  <c r="B45" i="58" s="1"/>
  <c r="B12" i="58"/>
  <c r="J8" i="58"/>
  <c r="J12" i="58" s="1"/>
  <c r="C9" i="53"/>
  <c r="C8" i="58"/>
  <c r="B8" i="55"/>
  <c r="C7" i="55" s="1"/>
  <c r="C7" i="56"/>
  <c r="B8" i="56"/>
  <c r="C41" i="58" l="1"/>
  <c r="C12" i="58"/>
  <c r="C6" i="55"/>
  <c r="C3" i="55"/>
  <c r="C6" i="56"/>
  <c r="C3" i="56"/>
  <c r="C9" i="56" s="1"/>
  <c r="C9" i="55" l="1"/>
  <c r="B5" i="10" l="1"/>
  <c r="E36" i="17"/>
  <c r="E35" i="17"/>
  <c r="E30" i="17"/>
  <c r="E29" i="17"/>
  <c r="E3" i="17"/>
  <c r="F99" i="33"/>
  <c r="E99" i="33"/>
  <c r="F98" i="33"/>
  <c r="E98" i="33"/>
  <c r="F97" i="33"/>
  <c r="E97" i="33"/>
  <c r="F87" i="33"/>
  <c r="D87" i="33"/>
  <c r="F86" i="33"/>
  <c r="E86" i="33"/>
  <c r="D86" i="33"/>
  <c r="F85" i="33"/>
  <c r="E85" i="33"/>
  <c r="D85" i="33"/>
  <c r="F84" i="33"/>
  <c r="E84" i="33"/>
  <c r="D84" i="33"/>
  <c r="F83" i="33"/>
  <c r="E83" i="33"/>
  <c r="D83" i="33"/>
  <c r="F82" i="33"/>
  <c r="E82" i="33"/>
  <c r="F81" i="33"/>
  <c r="E81" i="33"/>
  <c r="D81" i="33"/>
  <c r="F80" i="33"/>
  <c r="E80" i="33"/>
  <c r="F79" i="33"/>
  <c r="E79" i="33"/>
  <c r="D79" i="33"/>
  <c r="F78" i="33"/>
  <c r="E78" i="33"/>
  <c r="F77" i="33"/>
  <c r="E77" i="33"/>
  <c r="F76" i="33"/>
  <c r="E76" i="33"/>
  <c r="F75" i="33"/>
  <c r="E75" i="33"/>
  <c r="F74" i="33"/>
  <c r="E74" i="33"/>
  <c r="D74" i="33"/>
  <c r="F73" i="33"/>
  <c r="D73" i="33"/>
  <c r="F61" i="33"/>
  <c r="D61" i="33"/>
  <c r="F60" i="33"/>
  <c r="E60" i="33"/>
  <c r="D60" i="33"/>
  <c r="F59" i="33"/>
  <c r="E59" i="33"/>
  <c r="D59" i="33"/>
  <c r="F58" i="33"/>
  <c r="E58" i="33"/>
  <c r="D58" i="33"/>
  <c r="F57" i="33"/>
  <c r="E57" i="33"/>
  <c r="D57" i="33"/>
  <c r="F56" i="33"/>
  <c r="E56" i="33"/>
  <c r="D56" i="33"/>
  <c r="F55" i="33"/>
  <c r="E55" i="33"/>
  <c r="D55" i="33"/>
  <c r="F54" i="33"/>
  <c r="E54" i="33"/>
  <c r="D54" i="33"/>
  <c r="F53" i="33"/>
  <c r="E53" i="33"/>
  <c r="D53" i="33"/>
  <c r="F52" i="33"/>
  <c r="E52" i="33"/>
  <c r="F51" i="33"/>
  <c r="E51" i="33"/>
  <c r="D51" i="33"/>
  <c r="F50" i="33"/>
  <c r="E50" i="33"/>
  <c r="F49" i="33"/>
  <c r="E49" i="33"/>
  <c r="D49" i="33"/>
  <c r="F48" i="33"/>
  <c r="E48" i="33"/>
  <c r="F47" i="33"/>
  <c r="E47" i="33"/>
  <c r="D47" i="33"/>
  <c r="F46" i="33"/>
  <c r="E46" i="33"/>
  <c r="F45" i="33"/>
  <c r="E45" i="33"/>
  <c r="D45" i="33"/>
  <c r="F44" i="33"/>
  <c r="E44" i="33"/>
  <c r="F43" i="33"/>
  <c r="E43" i="33"/>
  <c r="F42" i="33"/>
  <c r="E42" i="33"/>
  <c r="F41" i="33"/>
  <c r="E41" i="33"/>
  <c r="F40" i="33"/>
  <c r="E40" i="33"/>
  <c r="F39" i="33"/>
  <c r="E39" i="33"/>
  <c r="F38" i="33"/>
  <c r="E38" i="33"/>
  <c r="D38" i="33"/>
  <c r="F37" i="33"/>
  <c r="E37" i="33"/>
  <c r="D37" i="33"/>
  <c r="F36" i="33"/>
  <c r="E36" i="33"/>
  <c r="D36" i="33"/>
  <c r="F35" i="33"/>
  <c r="D35" i="33"/>
  <c r="F22" i="33"/>
  <c r="E22" i="33"/>
  <c r="D22" i="33"/>
  <c r="F21" i="33"/>
  <c r="E21" i="33"/>
  <c r="D21" i="33"/>
  <c r="F20" i="33"/>
  <c r="E20" i="33"/>
  <c r="D20" i="33"/>
  <c r="F19" i="33"/>
  <c r="E19" i="33"/>
  <c r="F18" i="33"/>
  <c r="E18" i="33"/>
  <c r="F17" i="33"/>
  <c r="E17" i="33"/>
  <c r="F16" i="33"/>
  <c r="E16" i="33"/>
  <c r="F15" i="33"/>
  <c r="F14" i="33"/>
  <c r="E14" i="33"/>
  <c r="F13" i="33"/>
  <c r="D13" i="33"/>
  <c r="F12" i="33"/>
  <c r="D12" i="33"/>
  <c r="F36" i="17" l="1"/>
  <c r="F30" i="17"/>
  <c r="G36" i="17"/>
  <c r="F35" i="17"/>
  <c r="F29" i="17"/>
  <c r="E24" i="17"/>
  <c r="F12" i="17"/>
  <c r="F13" i="17"/>
  <c r="F11" i="17"/>
  <c r="G29" i="17" l="1"/>
  <c r="G30" i="17"/>
  <c r="G35" i="17"/>
  <c r="C80" i="33"/>
  <c r="G80" i="33" s="1"/>
  <c r="C48" i="33"/>
  <c r="G48" i="33" s="1"/>
  <c r="C82" i="33"/>
  <c r="G82" i="33" s="1"/>
  <c r="C19" i="33"/>
  <c r="G19" i="33" s="1"/>
  <c r="C50" i="33"/>
  <c r="G50" i="33" s="1"/>
  <c r="H36" i="17"/>
  <c r="C46" i="33"/>
  <c r="G46" i="33" s="1"/>
  <c r="C52" i="33"/>
  <c r="G52" i="33" s="1"/>
  <c r="C18" i="33"/>
  <c r="G18" i="33" s="1"/>
  <c r="F24" i="17"/>
  <c r="G11" i="17"/>
  <c r="G13" i="17"/>
  <c r="G12" i="17"/>
  <c r="K26" i="33" l="1"/>
  <c r="C56" i="33"/>
  <c r="G56" i="33" s="1"/>
  <c r="H35" i="17"/>
  <c r="C54" i="33"/>
  <c r="G54" i="33" s="1"/>
  <c r="C20" i="33"/>
  <c r="G20" i="33" s="1"/>
  <c r="C60" i="33"/>
  <c r="G60" i="33" s="1"/>
  <c r="C84" i="33"/>
  <c r="G84" i="33" s="1"/>
  <c r="C58" i="33"/>
  <c r="G58" i="33" s="1"/>
  <c r="C86" i="33"/>
  <c r="G86" i="33" s="1"/>
  <c r="C21" i="33"/>
  <c r="G21" i="33" s="1"/>
  <c r="C79" i="33"/>
  <c r="G79" i="33" s="1"/>
  <c r="H30" i="17"/>
  <c r="C47" i="33"/>
  <c r="G47" i="33" s="1"/>
  <c r="C51" i="33"/>
  <c r="G51" i="33" s="1"/>
  <c r="C45" i="33"/>
  <c r="G45" i="33" s="1"/>
  <c r="C81" i="33"/>
  <c r="G81" i="33" s="1"/>
  <c r="C49" i="33"/>
  <c r="G49" i="33" s="1"/>
  <c r="C57" i="33"/>
  <c r="G57" i="33" s="1"/>
  <c r="C53" i="33"/>
  <c r="G53" i="33" s="1"/>
  <c r="C83" i="33"/>
  <c r="G83" i="33" s="1"/>
  <c r="C59" i="33"/>
  <c r="G59" i="33" s="1"/>
  <c r="C85" i="33"/>
  <c r="G85" i="33" s="1"/>
  <c r="C55" i="33"/>
  <c r="G55" i="33" s="1"/>
  <c r="H29" i="17"/>
  <c r="G24" i="17"/>
  <c r="C75" i="33"/>
  <c r="G75" i="33" s="1"/>
  <c r="C39" i="33"/>
  <c r="G39" i="33" s="1"/>
  <c r="H12" i="17"/>
  <c r="C97" i="33"/>
  <c r="G97" i="33" s="1"/>
  <c r="C14" i="33"/>
  <c r="G14" i="33" s="1"/>
  <c r="C43" i="33"/>
  <c r="G43" i="33" s="1"/>
  <c r="C78" i="33"/>
  <c r="G78" i="33" s="1"/>
  <c r="C42" i="33"/>
  <c r="G42" i="33" s="1"/>
  <c r="C77" i="33"/>
  <c r="G77" i="33" s="1"/>
  <c r="C17" i="33"/>
  <c r="G17" i="33" s="1"/>
  <c r="C44" i="33"/>
  <c r="G44" i="33" s="1"/>
  <c r="C41" i="33"/>
  <c r="G41" i="33" s="1"/>
  <c r="H11" i="17"/>
  <c r="C16" i="33"/>
  <c r="G16" i="33" s="1"/>
  <c r="C99" i="33"/>
  <c r="G99" i="33" s="1"/>
  <c r="H13" i="17"/>
  <c r="C40" i="33"/>
  <c r="G40" i="33" s="1"/>
  <c r="C98" i="33"/>
  <c r="G98" i="33" s="1"/>
  <c r="C15" i="33"/>
  <c r="G15" i="33" s="1"/>
  <c r="C76" i="33"/>
  <c r="G76" i="33" s="1"/>
  <c r="K91" i="33" l="1"/>
  <c r="K92" i="33"/>
  <c r="K66" i="33"/>
  <c r="K27" i="33"/>
  <c r="K65" i="33"/>
  <c r="C61" i="33"/>
  <c r="G61" i="33" s="1"/>
  <c r="K67" i="33" s="1"/>
  <c r="H24" i="17"/>
  <c r="C87" i="33"/>
  <c r="G87" i="33" s="1"/>
  <c r="K93" i="33" s="1"/>
  <c r="C22" i="33"/>
  <c r="G22" i="33" s="1"/>
  <c r="K28" i="33" s="1"/>
  <c r="B102" i="33"/>
  <c r="G102" i="33" s="1"/>
  <c r="G105" i="33"/>
  <c r="D7" i="33" s="1"/>
  <c r="B7" i="33"/>
  <c r="K90" i="33"/>
  <c r="K25" i="33"/>
  <c r="K64" i="33"/>
  <c r="B25" i="33" l="1"/>
  <c r="L27" i="33" s="1"/>
  <c r="B90" i="33"/>
  <c r="L93" i="33" s="1"/>
  <c r="G104" i="33"/>
  <c r="D6" i="33" s="1"/>
  <c r="B64" i="33"/>
  <c r="L64" i="33" s="1"/>
  <c r="G103" i="33"/>
  <c r="B6" i="33"/>
  <c r="L26" i="33"/>
  <c r="G28" i="33" l="1"/>
  <c r="G25" i="33"/>
  <c r="G26" i="33"/>
  <c r="L25" i="33"/>
  <c r="G27" i="33"/>
  <c r="L28" i="33"/>
  <c r="L90" i="33"/>
  <c r="L92" i="33"/>
  <c r="G90" i="33"/>
  <c r="G91" i="33"/>
  <c r="L91" i="33"/>
  <c r="G92" i="33"/>
  <c r="L67" i="33"/>
  <c r="L65" i="33"/>
  <c r="G64" i="33"/>
  <c r="G65" i="33"/>
  <c r="G66" i="33"/>
  <c r="L66" i="33"/>
  <c r="B3" i="33"/>
  <c r="B8" i="33" s="1"/>
  <c r="C6" i="33" s="1"/>
  <c r="D3" i="33" l="1"/>
  <c r="C3" i="33"/>
  <c r="D8" i="3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tc={A32DE690-6F56-4875-A191-DAE2FB093632}</author>
    <author>tc={B8753FA4-699F-4AFA-811C-A1C189064CB8}</author>
    <author>tc={C35E157B-61E9-43B5-AE8B-7169115508B2}</author>
    <author>tc={0C56F0DA-2BEF-4195-996C-BDC4735FF2D7}</author>
    <author>tc={B7C48B56-AA1C-4FF2-B58B-C78E34E5369D}</author>
    <author>tc={CCBB4DD4-CBDB-4199-A7A9-F50A09AB0A1F}</author>
    <author>tc={D298089F-4DCD-4CEC-AD9D-EF72359F1C06}</author>
    <author>tc={459B4B25-FCB4-41C0-8F3F-F1EC29FE731A}</author>
    <author>tc={ADB0216C-604D-400F-A2F7-F244050A2BF2}</author>
    <author>tc={1930BF41-126C-4476-9A73-8977714EE266}</author>
    <author>tc={0BC3D202-3F45-40D7-9F9D-9B1555F1772F}</author>
    <author>tc={0842B4F1-B546-4183-AE86-EBDC0CEB311F}</author>
    <author>tc={8E12325A-25FD-492D-A3E2-B5B2D071FAF1}</author>
    <author>tc={8F8E0343-0FD5-46CF-911F-D8767D00071C}</author>
    <author>tc={58BF6070-1FC2-42CE-9254-C7905CCC8F17}</author>
    <author>tc={DE076ED1-2EF4-4FEE-A704-68FD8CAAB899}</author>
    <author>tc={A956CEE4-6CB5-49C9-A611-ECDE2E769653}</author>
    <author>tc={B050F109-13CF-4210-9AC3-950C07A7995C}</author>
    <author>tc={45ED22A7-19CE-4E7D-AA18-6A9B3F5220E9}</author>
    <author>tc={CD7A9ED1-AA0F-4DD6-ABA6-EEDE1E6DC4F3}</author>
    <author>tc={0B9C20D4-079C-47DF-AD96-517A07EE0543}</author>
    <author>tc={BDE2935C-BC3B-43F0-9D09-26B8D3A49D6D}</author>
    <author>tc={232D2D6E-5F81-4DC2-9B9D-3FEB19001FD6}</author>
    <author>tc={9300AEF2-4045-4F39-96C9-98064C5CEF4D}</author>
    <author>tc={70792D78-D918-4350-BCC5-75B410A65699}</author>
    <author>tc={38AD4107-6E53-4B8D-AB42-DE3671AEA34F}</author>
    <author>tc={93B0AD26-64C1-4A18-9741-40EADA8766E0}</author>
    <author>tc={AF52DAA4-0EDD-4443-91D1-7634B16E1D69}</author>
    <author>tc={4A7A1721-17B4-4FA3-9BA8-DD2D74336146}</author>
    <author>tc={51CB116B-4030-410F-BA38-8B66F30EC14D}</author>
    <author>tc={3A8E8EF8-C581-4AB0-8E6F-29453CDEDBB8}</author>
  </authors>
  <commentList>
    <comment ref="E12" authorId="0" shapeId="0" xr:uid="{A32DE690-6F56-4875-A191-DAE2FB093632}">
      <text>
        <t>[Threaded comment]
Your version of Excel allows you to read this threaded comment; however, any edits to it will get removed if the file is opened in a newer version of Excel. Learn more: https://go.microsoft.com/fwlink/?linkid=870924
Comment:
    Assumes 20 regions and one national level trainer per region</t>
      </text>
    </comment>
    <comment ref="F12" authorId="1" shapeId="0" xr:uid="{B8753FA4-699F-4AFA-811C-A1C189064CB8}">
      <text>
        <t>[Threaded comment]
Your version of Excel allows you to read this threaded comment; however, any edits to it will get removed if the file is opened in a newer version of Excel. Learn more: https://go.microsoft.com/fwlink/?linkid=870924
Comment:
    Total days</t>
      </text>
    </comment>
    <comment ref="R12" authorId="2" shapeId="0" xr:uid="{C35E157B-61E9-43B5-AE8B-7169115508B2}">
      <text>
        <t>[Threaded comment]
Your version of Excel allows you to read this threaded comment; however, any edits to it will get removed if the file is opened in a newer version of Excel. Learn more: https://go.microsoft.com/fwlink/?linkid=870924
Comment:
    Assumes 20 regions and one national level trainer per region</t>
      </text>
    </comment>
    <comment ref="E13" authorId="3" shapeId="0" xr:uid="{0C56F0DA-2BEF-4195-996C-BDC4735FF2D7}">
      <text>
        <t xml:space="preserve">[Threaded comment]
Your version of Excel allows you to read this threaded comment; however, any edits to it will get removed if the file is opened in a newer version of Excel. Learn more: https://go.microsoft.com/fwlink/?linkid=870924
Comment:
    Assumes 4 trainers per district attending the master training at the national or regional level </t>
      </text>
    </comment>
    <comment ref="F13" authorId="4" shapeId="0" xr:uid="{B7C48B56-AA1C-4FF2-B58B-C78E34E5369D}">
      <text>
        <t>[Threaded comment]
Your version of Excel allows you to read this threaded comment; however, any edits to it will get removed if the file is opened in a newer version of Excel. Learn more: https://go.microsoft.com/fwlink/?linkid=870924
Comment:
    Total days</t>
      </text>
    </comment>
    <comment ref="R13" authorId="5" shapeId="0" xr:uid="{CCBB4DD4-CBDB-4199-A7A9-F50A09AB0A1F}">
      <text>
        <t xml:space="preserve">[Threaded comment]
Your version of Excel allows you to read this threaded comment; however, any edits to it will get removed if the file is opened in a newer version of Excel. Learn more: https://go.microsoft.com/fwlink/?linkid=870924
Comment:
    Assumes 1 level 1 training per district attending the master training at the national or regional level </t>
      </text>
    </comment>
    <comment ref="Q18" authorId="6" shapeId="0" xr:uid="{D298089F-4DCD-4CEC-AD9D-EF72359F1C06}">
      <text>
        <t xml:space="preserve">[Threaded comment]
Your version of Excel allows you to read this threaded comment; however, any edits to it will get removed if the file is opened in a newer version of Excel. Learn more: https://go.microsoft.com/fwlink/?linkid=870924
Comment:
    One time transportation reimbursement for overnight training </t>
      </text>
    </comment>
    <comment ref="Q19" authorId="7" shapeId="0" xr:uid="{459B4B25-FCB4-41C0-8F3F-F1EC29FE731A}">
      <text>
        <t xml:space="preserve">[Threaded comment]
Your version of Excel allows you to read this threaded comment; however, any edits to it will get removed if the file is opened in a newer version of Excel. Learn more: https://go.microsoft.com/fwlink/?linkid=870924
Comment:
    One time transportation reimbursement for overnight training </t>
      </text>
    </comment>
    <comment ref="F35" authorId="8" shapeId="0" xr:uid="{ADB0216C-604D-400F-A2F7-F244050A2BF2}">
      <text>
        <t>[Threaded comment]
Your version of Excel allows you to read this threaded comment; however, any edits to it will get removed if the file is opened in a newer version of Excel. Learn more: https://go.microsoft.com/fwlink/?linkid=870924
Comment:
    Total days</t>
      </text>
    </comment>
    <comment ref="S35" authorId="9" shapeId="0" xr:uid="{1930BF41-126C-4476-9A73-8977714EE266}">
      <text>
        <t>[Threaded comment]
Your version of Excel allows you to read this threaded comment; however, any edits to it will get removed if the file is opened in a newer version of Excel. Learn more: https://go.microsoft.com/fwlink/?linkid=870924
Comment:
    Total days</t>
      </text>
    </comment>
    <comment ref="E36" authorId="10" shapeId="0" xr:uid="{0BC3D202-3F45-40D7-9F9D-9B1555F1772F}">
      <text>
        <t xml:space="preserve">[Threaded comment]
Your version of Excel allows you to read this threaded comment; however, any edits to it will get removed if the file is opened in a newer version of Excel. Learn more: https://go.microsoft.com/fwlink/?linkid=870924
Comment:
    Number of schools divided by avg schools per SISO (see report for sources). Replace with GES numbers on SISOs if I receive. </t>
      </text>
    </comment>
    <comment ref="F36" authorId="11" shapeId="0" xr:uid="{0842B4F1-B546-4183-AE86-EBDC0CEB311F}">
      <text>
        <t>[Threaded comment]
Your version of Excel allows you to read this threaded comment; however, any edits to it will get removed if the file is opened in a newer version of Excel. Learn more: https://go.microsoft.com/fwlink/?linkid=870924
Comment:
    Total days</t>
      </text>
    </comment>
    <comment ref="S36" authorId="12" shapeId="0" xr:uid="{8E12325A-25FD-492D-A3E2-B5B2D071FAF1}">
      <text>
        <t>[Threaded comment]
Your version of Excel allows you to read this threaded comment; however, any edits to it will get removed if the file is opened in a newer version of Excel. Learn more: https://go.microsoft.com/fwlink/?linkid=870924
Comment:
    Total days</t>
      </text>
    </comment>
    <comment ref="A37" authorId="13" shapeId="0" xr:uid="{8F8E0343-0FD5-46CF-911F-D8767D00071C}">
      <text>
        <t>[Threaded comment]
Your version of Excel allows you to read this threaded comment; however, any edits to it will get removed if the file is opened in a newer version of Excel. Learn more: https://go.microsoft.com/fwlink/?linkid=870924
Comment:
    One SL rep per school</t>
      </text>
    </comment>
    <comment ref="E37" authorId="14" shapeId="0" xr:uid="{58BF6070-1FC2-42CE-9254-C7905CCC8F17}">
      <text>
        <t xml:space="preserve">[Threaded comment]
Your version of Excel allows you to read this threaded comment; however, any edits to it will get removed if the file is opened in a newer version of Excel. Learn more: https://go.microsoft.com/fwlink/?linkid=870924
Comment:
    Total HT/SL - number of primary schools. </t>
      </text>
    </comment>
    <comment ref="Q38" authorId="15" shapeId="0" xr:uid="{DE076ED1-2EF4-4FEE-A704-68FD8CAAB899}">
      <text>
        <t>[Threaded comment]
Your version of Excel allows you to read this threaded comment; however, any edits to it will get removed if the file is opened in a newer version of Excel. Learn more: https://go.microsoft.com/fwlink/?linkid=870924
Comment:
    1:5 ratio of student texts for training participants</t>
      </text>
    </comment>
    <comment ref="D39" authorId="16" shapeId="0" xr:uid="{A956CEE4-6CB5-49C9-A611-ECDE2E769653}">
      <text>
        <t xml:space="preserve">[Threaded comment]
Your version of Excel allows you to read this threaded comment; however, any edits to it will get removed if the file is opened in a newer version of Excel. Learn more: https://go.microsoft.com/fwlink/?linkid=870924
Comment:
    1:2 ratio for training </t>
      </text>
    </comment>
    <comment ref="Q39" authorId="17" shapeId="0" xr:uid="{B050F109-13CF-4210-9AC3-950C07A7995C}">
      <text>
        <t>[Threaded comment]
Your version of Excel allows you to read this threaded comment; however, any edits to it will get removed if the file is opened in a newer version of Excel. Learn more: https://go.microsoft.com/fwlink/?linkid=870924
Comment:
    Trainers have manual from Level 1 training.</t>
      </text>
    </comment>
    <comment ref="D40" authorId="18" shapeId="0" xr:uid="{45ED22A7-19CE-4E7D-AA18-6A9B3F5220E9}">
      <text>
        <t>[Threaded comment]
Your version of Excel allows you to read this threaded comment; however, any edits to it will get removed if the file is opened in a newer version of Excel. Learn more: https://go.microsoft.com/fwlink/?linkid=870924
Comment:
    1:5 ratio of student texts for training participants</t>
      </text>
    </comment>
    <comment ref="E40" authorId="19" shapeId="0" xr:uid="{CD7A9ED1-AA0F-4DD6-ABA6-EEDE1E6DC4F3}">
      <text>
        <t>[Threaded comment]
Your version of Excel allows you to read this threaded comment; however, any edits to it will get removed if the file is opened in a newer version of Excel. Learn more: https://go.microsoft.com/fwlink/?linkid=870924
Comment:
    1:5 ratio of example texts for training participants</t>
      </text>
    </comment>
    <comment ref="Q42" authorId="20" shapeId="0" xr:uid="{0B9C20D4-079C-47DF-AD96-517A07EE0543}">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D46" authorId="21" shapeId="0" xr:uid="{BDE2935C-BC3B-43F0-9D09-26B8D3A49D6D}">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R49" authorId="22" shapeId="0" xr:uid="{232D2D6E-5F81-4DC2-9B9D-3FEB19001FD6}">
      <text>
        <t>[Threaded comment]
Your version of Excel allows you to read this threaded comment; however, any edits to it will get removed if the file is opened in a newer version of Excel. Learn more: https://go.microsoft.com/fwlink/?linkid=870924
Comment:
    4 trainings per district</t>
      </text>
    </comment>
    <comment ref="S60" authorId="23" shapeId="0" xr:uid="{9300AEF2-4045-4F39-96C9-98064C5CEF4D}">
      <text>
        <t>[Threaded comment]
Your version of Excel allows you to read this threaded comment; however, any edits to it will get removed if the file is opened in a newer version of Excel. Learn more: https://go.microsoft.com/fwlink/?linkid=870924
Comment:
    Assumes 3 school per day</t>
      </text>
    </comment>
    <comment ref="E61" authorId="24" shapeId="0" xr:uid="{70792D78-D918-4350-BCC5-75B410A65699}">
      <text>
        <t xml:space="preserve">[Threaded comment]
Your version of Excel allows you to read this threaded comment; however, any edits to it will get removed if the file is opened in a newer version of Excel. Learn more: https://go.microsoft.com/fwlink/?linkid=870924
Comment:
    7 trainings per term per district (100) 
</t>
      </text>
    </comment>
    <comment ref="S61" authorId="25" shapeId="0" xr:uid="{38AD4107-6E53-4B8D-AB42-DE3671AEA34F}">
      <text>
        <t>[Threaded comment]
Your version of Excel allows you to read this threaded comment; however, any edits to it will get removed if the file is opened in a newer version of Excel. Learn more: https://go.microsoft.com/fwlink/?linkid=870924
Comment:
    Assumes three schools per day</t>
      </text>
    </comment>
    <comment ref="S62" authorId="26" shapeId="0" xr:uid="{93B0AD26-64C1-4A18-9741-40EADA8766E0}">
      <text>
        <t>[Threaded comment]
Your version of Excel allows you to read this threaded comment; however, any edits to it will get removed if the file is opened in a newer version of Excel. Learn more: https://go.microsoft.com/fwlink/?linkid=870924
Comment:
    Assumes two observations per school visit</t>
      </text>
    </comment>
    <comment ref="F73" authorId="27" shapeId="0" xr:uid="{AF52DAA4-0EDD-4443-91D1-7634B16E1D69}">
      <text>
        <t>[Threaded comment]
Your version of Excel allows you to read this threaded comment; however, any edits to it will get removed if the file is opened in a newer version of Excel. Learn more: https://go.microsoft.com/fwlink/?linkid=870924
Comment:
    Total days</t>
      </text>
    </comment>
    <comment ref="D75" authorId="28" shapeId="0" xr:uid="{4A7A1721-17B4-4FA3-9BA8-DD2D74336146}">
      <text>
        <t>[Threaded comment]
Your version of Excel allows you to read this threaded comment; however, any edits to it will get removed if the file is opened in a newer version of Excel. Learn more: https://go.microsoft.com/fwlink/?linkid=870924
Comment:
    Small number of reference TGs. Assumes teachers will use their own TGs</t>
      </text>
    </comment>
    <comment ref="D80" authorId="29" shapeId="0" xr:uid="{51CB116B-4030-410F-BA38-8B66F30EC14D}">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E87" authorId="30" shapeId="0" xr:uid="{3A8E8EF8-C581-4AB0-8E6F-29453CDEDBB8}">
      <text>
        <t xml:space="preserve">[Threaded comment]
Your version of Excel allows you to read this threaded comment; however, any edits to it will get removed if the file is opened in a newer version of Excel. Learn more: https://go.microsoft.com/fwlink/?linkid=870924
Comment:
    7
 trainings per term per district (100)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tc={9646A2A0-5DBE-4E76-AD25-3E3A5FA0650E}</author>
    <author>tc={1F7C0DB4-4515-4653-9A5E-30C3B1D8F2A4}</author>
    <author>tc={DB464A88-DA0F-4AA9-9B93-34866D19AEF3}</author>
    <author>tc={54F594A2-3D3D-4F4D-96A7-E3A3FCBD04A3}</author>
    <author>tc={0B57567A-F538-4B47-AE33-9614CE2A4B98}</author>
    <author>tc={E7EFC238-174D-4DBA-B8B2-CD874BF99057}</author>
    <author>tc={FA435207-38FC-4181-A8ED-1ED3942E802F}</author>
    <author>tc={3D398F43-9089-4E41-AA55-5DAF708FA632}</author>
    <author>tc={762C7516-DEB7-4F14-90D9-03FBDF92B5E3}</author>
    <author>tc={784F5667-D115-467E-B7C9-9ACB7D3FF476}</author>
    <author>tc={CE361CB0-EB68-417A-B4D6-7D56C608CA92}</author>
    <author>tc={1AC32B1C-BA63-488E-9622-B13D3389FBB8}</author>
    <author>tc={7F268ED2-2FA8-4C52-BA64-75DC08484508}</author>
    <author>tc={EA6F294C-8C4E-4533-8A56-5875B7AE52C9}</author>
    <author>tc={2DBBDC3E-5506-43DF-94DF-0B94FFC77479}</author>
    <author>tc={41EAF0EC-9B3A-4745-BFCA-8C9D2739D1A6}</author>
    <author>tc={2C6E6313-8070-4690-8942-9C1FD86AC281}</author>
    <author>tc={BAB9E559-222E-45B9-93CC-AFA0CD81F7BE}</author>
    <author>tc={884A6BE7-F501-4001-8316-E7CBCBCF05F6}</author>
    <author>tc={569E5F2D-B9BA-4DE0-8A27-DA21349D500B}</author>
    <author>tc={6504AD3A-D933-4B98-A9FC-1D6D912D0BDF}</author>
    <author>tc={5F6CECD9-8F29-4EA6-BD44-473B46544C0E}</author>
    <author>tc={32DA8EBD-042C-44D5-AF3A-D28F9C1C9E6B}</author>
    <author>tc={6546ED37-39FA-4BCF-A011-F62BDDD00264}</author>
    <author>tc={372CD308-7B2F-49CA-B140-19790CCD1BB7}</author>
    <author>tc={A9EDC780-39EE-479D-8E3C-8B2AE0805BFE}</author>
    <author>tc={B3F68CAB-473F-4B84-A1AC-8A5174CB7451}</author>
    <author>tc={DC551AC3-DDAA-4027-99DC-1972CD07F9E9}</author>
    <author>tc={A75F5E33-C187-45A4-ABC0-638887AF6560}</author>
    <author>tc={F931B59F-B1D4-49B5-AC98-9E50EE7D00C2}</author>
    <author>tc={DEE5D653-EEF1-42A0-A351-5B2998117A60}</author>
    <author>tc={964459B2-39C4-4755-B195-DA3A1D7E4CD8}</author>
    <author>tc={4C3A4FBF-B82F-49BE-B100-83EEA9F093A8}</author>
    <author>tc={946A0EA7-5398-41AA-B2E8-657839CFEB85}</author>
  </authors>
  <commentList>
    <comment ref="E12" authorId="0" shapeId="0" xr:uid="{9646A2A0-5DBE-4E76-AD25-3E3A5FA0650E}">
      <text>
        <t>[Threaded comment]
Your version of Excel allows you to read this threaded comment; however, any edits to it will get removed if the file is opened in a newer version of Excel. Learn more: https://go.microsoft.com/fwlink/?linkid=870924
Comment:
    Assumes 20 regions and one national level trainer per region</t>
      </text>
    </comment>
    <comment ref="F12" authorId="1" shapeId="0" xr:uid="{1F7C0DB4-4515-4653-9A5E-30C3B1D8F2A4}">
      <text>
        <t>[Threaded comment]
Your version of Excel allows you to read this threaded comment; however, any edits to it will get removed if the file is opened in a newer version of Excel. Learn more: https://go.microsoft.com/fwlink/?linkid=870924
Comment:
    Total days</t>
      </text>
    </comment>
    <comment ref="R12" authorId="2" shapeId="0" xr:uid="{DB464A88-DA0F-4AA9-9B93-34866D19AEF3}">
      <text>
        <t>[Threaded comment]
Your version of Excel allows you to read this threaded comment; however, any edits to it will get removed if the file is opened in a newer version of Excel. Learn more: https://go.microsoft.com/fwlink/?linkid=870924
Comment:
    Assumes 20 regions and one national level trainer per region</t>
      </text>
    </comment>
    <comment ref="E13" authorId="3" shapeId="0" xr:uid="{54F594A2-3D3D-4F4D-96A7-E3A3FCBD04A3}">
      <text>
        <t xml:space="preserve">[Threaded comment]
Your version of Excel allows you to read this threaded comment; however, any edits to it will get removed if the file is opened in a newer version of Excel. Learn more: https://go.microsoft.com/fwlink/?linkid=870924
Comment:
    Assumes 4 trainers per district attending the master training at the national or regional level </t>
      </text>
    </comment>
    <comment ref="F13" authorId="4" shapeId="0" xr:uid="{0B57567A-F538-4B47-AE33-9614CE2A4B98}">
      <text>
        <t>[Threaded comment]
Your version of Excel allows you to read this threaded comment; however, any edits to it will get removed if the file is opened in a newer version of Excel. Learn more: https://go.microsoft.com/fwlink/?linkid=870924
Comment:
    Total days</t>
      </text>
    </comment>
    <comment ref="R13" authorId="5" shapeId="0" xr:uid="{E7EFC238-174D-4DBA-B8B2-CD874BF99057}">
      <text>
        <t xml:space="preserve">[Threaded comment]
Your version of Excel allows you to read this threaded comment; however, any edits to it will get removed if the file is opened in a newer version of Excel. Learn more: https://go.microsoft.com/fwlink/?linkid=870924
Comment:
    Assumes 1 level 1 training per district attending the master training at the national or regional level </t>
      </text>
    </comment>
    <comment ref="D18" authorId="6" shapeId="0" xr:uid="{FA435207-38FC-4181-A8ED-1ED3942E802F}">
      <text>
        <t>[Threaded comment]
Your version of Excel allows you to read this threaded comment; however, any edits to it will get removed if the file is opened in a newer version of Excel. Learn more: https://go.microsoft.com/fwlink/?linkid=870924
Comment:
    One time transportation stipend for overnight training</t>
      </text>
    </comment>
    <comment ref="Q18" authorId="7" shapeId="0" xr:uid="{3D398F43-9089-4E41-AA55-5DAF708FA632}">
      <text>
        <t xml:space="preserve">[Threaded comment]
Your version of Excel allows you to read this threaded comment; however, any edits to it will get removed if the file is opened in a newer version of Excel. Learn more: https://go.microsoft.com/fwlink/?linkid=870924
Comment:
    One time transportation reimbursement for overnight training </t>
      </text>
    </comment>
    <comment ref="Q19" authorId="8" shapeId="0" xr:uid="{762C7516-DEB7-4F14-90D9-03FBDF92B5E3}">
      <text>
        <t xml:space="preserve">[Threaded comment]
Your version of Excel allows you to read this threaded comment; however, any edits to it will get removed if the file is opened in a newer version of Excel. Learn more: https://go.microsoft.com/fwlink/?linkid=870924
Comment:
    One time transportation reimbursement for overnight training </t>
      </text>
    </comment>
    <comment ref="F35" authorId="9" shapeId="0" xr:uid="{784F5667-D115-467E-B7C9-9ACB7D3FF476}">
      <text>
        <t>[Threaded comment]
Your version of Excel allows you to read this threaded comment; however, any edits to it will get removed if the file is opened in a newer version of Excel. Learn more: https://go.microsoft.com/fwlink/?linkid=870924
Comment:
    Total days</t>
      </text>
    </comment>
    <comment ref="S35" authorId="10" shapeId="0" xr:uid="{CE361CB0-EB68-417A-B4D6-7D56C608CA92}">
      <text>
        <t>[Threaded comment]
Your version of Excel allows you to read this threaded comment; however, any edits to it will get removed if the file is opened in a newer version of Excel. Learn more: https://go.microsoft.com/fwlink/?linkid=870924
Comment:
    Total days</t>
      </text>
    </comment>
    <comment ref="E36" authorId="11" shapeId="0" xr:uid="{1AC32B1C-BA63-488E-9622-B13D3389FBB8}">
      <text>
        <t xml:space="preserve">[Threaded comment]
Your version of Excel allows you to read this threaded comment; however, any edits to it will get removed if the file is opened in a newer version of Excel. Learn more: https://go.microsoft.com/fwlink/?linkid=870924
Comment:
    Number of schools divided by avg schools per SISO (see report for sources). Replace with GES numbers on SISOs if I receive. </t>
      </text>
    </comment>
    <comment ref="F36" authorId="12" shapeId="0" xr:uid="{7F268ED2-2FA8-4C52-BA64-75DC08484508}">
      <text>
        <t>[Threaded comment]
Your version of Excel allows you to read this threaded comment; however, any edits to it will get removed if the file is opened in a newer version of Excel. Learn more: https://go.microsoft.com/fwlink/?linkid=870924
Comment:
    Total days</t>
      </text>
    </comment>
    <comment ref="S36" authorId="13" shapeId="0" xr:uid="{EA6F294C-8C4E-4533-8A56-5875B7AE52C9}">
      <text>
        <t>[Threaded comment]
Your version of Excel allows you to read this threaded comment; however, any edits to it will get removed if the file is opened in a newer version of Excel. Learn more: https://go.microsoft.com/fwlink/?linkid=870924
Comment:
    Total days</t>
      </text>
    </comment>
    <comment ref="A37" authorId="14" shapeId="0" xr:uid="{2DBBDC3E-5506-43DF-94DF-0B94FFC77479}">
      <text>
        <t>[Threaded comment]
Your version of Excel allows you to read this threaded comment; however, any edits to it will get removed if the file is opened in a newer version of Excel. Learn more: https://go.microsoft.com/fwlink/?linkid=870924
Comment:
    One SL rep per school</t>
      </text>
    </comment>
    <comment ref="E37" authorId="15" shapeId="0" xr:uid="{41EAF0EC-9B3A-4745-BFCA-8C9D2739D1A6}">
      <text>
        <t xml:space="preserve">[Threaded comment]
Your version of Excel allows you to read this threaded comment; however, any edits to it will get removed if the file is opened in a newer version of Excel. Learn more: https://go.microsoft.com/fwlink/?linkid=870924
Comment:
    Total HT/SL - number of primary schools. </t>
      </text>
    </comment>
    <comment ref="Q38" authorId="16" shapeId="0" xr:uid="{2C6E6313-8070-4690-8942-9C1FD86AC281}">
      <text>
        <t>[Threaded comment]
Your version of Excel allows you to read this threaded comment; however, any edits to it will get removed if the file is opened in a newer version of Excel. Learn more: https://go.microsoft.com/fwlink/?linkid=870924
Comment:
    1:5 ratio of student texts for training participants</t>
      </text>
    </comment>
    <comment ref="D39" authorId="17" shapeId="0" xr:uid="{BAB9E559-222E-45B9-93CC-AFA0CD81F7BE}">
      <text>
        <t>[Threaded comment]
Your version of Excel allows you to read this threaded comment; however, any edits to it will get removed if the file is opened in a newer version of Excel. Learn more: https://go.microsoft.com/fwlink/?linkid=870924
Comment:
    Year 2, most teachers will bring theirs, but new teachers/replacements may be required.</t>
      </text>
    </comment>
    <comment ref="Q39" authorId="18" shapeId="0" xr:uid="{884A6BE7-F501-4001-8316-E7CBCBCF05F6}">
      <text>
        <t>[Threaded comment]
Your version of Excel allows you to read this threaded comment; however, any edits to it will get removed if the file is opened in a newer version of Excel. Learn more: https://go.microsoft.com/fwlink/?linkid=870924
Comment:
    Trainers have manual from Level 1 training.</t>
      </text>
    </comment>
    <comment ref="D40" authorId="19" shapeId="0" xr:uid="{569E5F2D-B9BA-4DE0-8A27-DA21349D500B}">
      <text>
        <t>[Threaded comment]
Your version of Excel allows you to read this threaded comment; however, any edits to it will get removed if the file is opened in a newer version of Excel. Learn more: https://go.microsoft.com/fwlink/?linkid=870924
Comment:
    1:5 ratio of student texts for training participants</t>
      </text>
    </comment>
    <comment ref="E40" authorId="20" shapeId="0" xr:uid="{6504AD3A-D933-4B98-A9FC-1D6D912D0BDF}">
      <text>
        <t>[Threaded comment]
Your version of Excel allows you to read this threaded comment; however, any edits to it will get removed if the file is opened in a newer version of Excel. Learn more: https://go.microsoft.com/fwlink/?linkid=870924
Comment:
    1:5 ratio of example texts for training participants</t>
      </text>
    </comment>
    <comment ref="Q42" authorId="21" shapeId="0" xr:uid="{5F6CECD9-8F29-4EA6-BD44-473B46544C0E}">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D46" authorId="22" shapeId="0" xr:uid="{32DA8EBD-042C-44D5-AF3A-D28F9C1C9E6B}">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R49" authorId="23" shapeId="0" xr:uid="{6546ED37-39FA-4BCF-A011-F62BDDD00264}">
      <text>
        <t>[Threaded comment]
Your version of Excel allows you to read this threaded comment; however, any edits to it will get removed if the file is opened in a newer version of Excel. Learn more: https://go.microsoft.com/fwlink/?linkid=870924
Comment:
    4 trainings per district</t>
      </text>
    </comment>
    <comment ref="S60" authorId="24" shapeId="0" xr:uid="{372CD308-7B2F-49CA-B140-19790CCD1BB7}">
      <text>
        <t>[Threaded comment]
Your version of Excel allows you to read this threaded comment; however, any edits to it will get removed if the file is opened in a newer version of Excel. Learn more: https://go.microsoft.com/fwlink/?linkid=870924
Comment:
    Assumes 3 school per day</t>
      </text>
    </comment>
    <comment ref="E61" authorId="25" shapeId="0" xr:uid="{A9EDC780-39EE-479D-8E3C-8B2AE0805BFE}">
      <text>
        <t xml:space="preserve">[Threaded comment]
Your version of Excel allows you to read this threaded comment; however, any edits to it will get removed if the file is opened in a newer version of Excel. Learn more: https://go.microsoft.com/fwlink/?linkid=870924
Comment:
    7
 trainings per term per district (100) 
</t>
      </text>
    </comment>
    <comment ref="S61" authorId="26" shapeId="0" xr:uid="{B3F68CAB-473F-4B84-A1AC-8A5174CB7451}">
      <text>
        <t>[Threaded comment]
Your version of Excel allows you to read this threaded comment; however, any edits to it will get removed if the file is opened in a newer version of Excel. Learn more: https://go.microsoft.com/fwlink/?linkid=870924
Comment:
    Assumes three schools per day</t>
      </text>
    </comment>
    <comment ref="S62" authorId="27" shapeId="0" xr:uid="{DC551AC3-DDAA-4027-99DC-1972CD07F9E9}">
      <text>
        <t>[Threaded comment]
Your version of Excel allows you to read this threaded comment; however, any edits to it will get removed if the file is opened in a newer version of Excel. Learn more: https://go.microsoft.com/fwlink/?linkid=870924
Comment:
    Assumes two observations per school visit</t>
      </text>
    </comment>
    <comment ref="F73" authorId="28" shapeId="0" xr:uid="{A75F5E33-C187-45A4-ABC0-638887AF6560}">
      <text>
        <t>[Threaded comment]
Your version of Excel allows you to read this threaded comment; however, any edits to it will get removed if the file is opened in a newer version of Excel. Learn more: https://go.microsoft.com/fwlink/?linkid=870924
Comment:
    Total days</t>
      </text>
    </comment>
    <comment ref="D75" authorId="29" shapeId="0" xr:uid="{F931B59F-B1D4-49B5-AC98-9E50EE7D00C2}">
      <text>
        <t>[Threaded comment]
Your version of Excel allows you to read this threaded comment; however, any edits to it will get removed if the file is opened in a newer version of Excel. Learn more: https://go.microsoft.com/fwlink/?linkid=870924
Comment:
    Assumes most teachers bring their own, some required for new teachers/replacements</t>
      </text>
    </comment>
    <comment ref="D80" authorId="30" shapeId="0" xr:uid="{DEE5D653-EEF1-42A0-A351-5B2998117A60}">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E87" authorId="31" shapeId="0" xr:uid="{964459B2-39C4-4755-B195-DA3A1D7E4CD8}">
      <text>
        <t xml:space="preserve">[Threaded comment]
Your version of Excel allows you to read this threaded comment; however, any edits to it will get removed if the file is opened in a newer version of Excel. Learn more: https://go.microsoft.com/fwlink/?linkid=870924
Comment:
    7 trainings per term per district (100) 
</t>
      </text>
    </comment>
    <comment ref="F97" authorId="32" shapeId="0" xr:uid="{4C3A4FBF-B82F-49BE-B100-83EEA9F093A8}">
      <text>
        <t>[Threaded comment]
Your version of Excel allows you to read this threaded comment; however, any edits to it will get removed if the file is opened in a newer version of Excel. Learn more: https://go.microsoft.com/fwlink/?linkid=870924
Comment:
    10% annual replacement rate</t>
      </text>
    </comment>
    <comment ref="F98" authorId="33" shapeId="0" xr:uid="{946A0EA7-5398-41AA-B2E8-657839CFEB85}">
      <text>
        <t>[Threaded comment]
Your version of Excel allows you to read this threaded comment; however, any edits to it will get removed if the file is opened in a newer version of Excel. Learn more: https://go.microsoft.com/fwlink/?linkid=870924
Comment:
    10% annual replacement rate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tc={AF0B9D2D-D952-4C0A-A457-618607309278}</author>
    <author>tc={58AF2262-1D0C-48AE-8D99-561912490B8E}</author>
    <author>tc={C0F92A51-7B08-4F8A-9C26-63488DD96D70}</author>
    <author>tc={6F964895-EA34-4EE6-A4F8-F05223A89797}</author>
    <author>tc={39AF389B-3E4D-47FC-B7DE-3BC1E3BD0415}</author>
    <author>tc={7F58940A-8E57-4BAE-95DA-B338A10AA2A9}</author>
    <author>tc={7E792ECE-758B-4D3B-965B-9B471EE80EC2}</author>
    <author>tc={038E34F7-9906-4243-9885-C4B6BC559FF3}</author>
    <author>tc={652F46E9-8A81-47FF-BFEF-EA6ABFB5DEA9}</author>
    <author>tc={B62D1CE2-E3AD-4AEE-8577-B37594C3C4A0}</author>
    <author>tc={80AE6990-9FE7-4436-80B0-782D3EEC90DD}</author>
    <author>tc={E969A3CB-3194-493D-89B3-95BED43CD5AC}</author>
    <author>tc={9F1E9394-EC47-4E06-B91C-2B028B298B7E}</author>
    <author>tc={F97DA2E2-C173-4391-85D1-80E00DD111BB}</author>
    <author>tc={F75C789E-DEBB-42E7-ABB3-7310A9B057E8}</author>
    <author>tc={A862BB83-EC6A-4AC6-8A6E-AA2A87BD69E4}</author>
    <author>tc={A99C8955-05CC-41B4-90D2-0A9FD4A10351}</author>
    <author>tc={71018913-1165-46EC-ADBF-7D2650712773}</author>
    <author>tc={F79626C3-3A01-40DB-84AD-FED32EC92F84}</author>
    <author>tc={76440516-9566-4787-A30A-4AF4A82F46B2}</author>
    <author>tc={13A6FAF2-1F77-445A-81F0-9AA2427D062E}</author>
    <author>tc={31544928-BDE4-4F9A-98F9-71468416DFA0}</author>
    <author>tc={874E5779-3287-45D2-B877-01998EEE8486}</author>
    <author>tc={C91B59A7-2233-4E98-89FB-2C459969962B}</author>
    <author>tc={C7BD1F9E-2A24-4EFF-87C1-FCBDEFD39C7A}</author>
    <author>tc={B3D744F7-F4B7-4FA8-A62B-66EFEC237DFE}</author>
    <author>tc={96B9BF79-2BE0-45AE-B3A1-40A20E34129C}</author>
    <author>tc={7EB8E4F3-7891-4D31-8048-1FB25225A53F}</author>
    <author>tc={282F7B6C-D8D3-49BE-9C6A-90BE01917E20}</author>
    <author>tc={49CE3A60-379E-46AA-8978-866A993B4119}</author>
    <author>tc={63DFC1B1-F8AD-4462-9ACC-EFA1713D6FEC}</author>
    <author>tc={676D92EB-577F-4C41-9D23-D5E6BD0F92F3}</author>
    <author>tc={A1280FE0-7441-4780-9A52-BC043BF7E4C9}</author>
  </authors>
  <commentList>
    <comment ref="E12" authorId="0" shapeId="0" xr:uid="{AF0B9D2D-D952-4C0A-A457-618607309278}">
      <text>
        <t>[Threaded comment]
Your version of Excel allows you to read this threaded comment; however, any edits to it will get removed if the file is opened in a newer version of Excel. Learn more: https://go.microsoft.com/fwlink/?linkid=870924
Comment:
    Assumes 20 regions and one national level trainer per region</t>
      </text>
    </comment>
    <comment ref="F12" authorId="1" shapeId="0" xr:uid="{58AF2262-1D0C-48AE-8D99-561912490B8E}">
      <text>
        <t>[Threaded comment]
Your version of Excel allows you to read this threaded comment; however, any edits to it will get removed if the file is opened in a newer version of Excel. Learn more: https://go.microsoft.com/fwlink/?linkid=870924
Comment:
    Total days</t>
      </text>
    </comment>
    <comment ref="R12" authorId="2" shapeId="0" xr:uid="{C0F92A51-7B08-4F8A-9C26-63488DD96D70}">
      <text>
        <t>[Threaded comment]
Your version of Excel allows you to read this threaded comment; however, any edits to it will get removed if the file is opened in a newer version of Excel. Learn more: https://go.microsoft.com/fwlink/?linkid=870924
Comment:
    Assumes 20 regions and one national level trainer per region</t>
      </text>
    </comment>
    <comment ref="E13" authorId="3" shapeId="0" xr:uid="{6F964895-EA34-4EE6-A4F8-F05223A89797}">
      <text>
        <t xml:space="preserve">[Threaded comment]
Your version of Excel allows you to read this threaded comment; however, any edits to it will get removed if the file is opened in a newer version of Excel. Learn more: https://go.microsoft.com/fwlink/?linkid=870924
Comment:
    Assumes 4 trainers per district attending the master training at the national or regional level </t>
      </text>
    </comment>
    <comment ref="F13" authorId="4" shapeId="0" xr:uid="{39AF389B-3E4D-47FC-B7DE-3BC1E3BD0415}">
      <text>
        <t>[Threaded comment]
Your version of Excel allows you to read this threaded comment; however, any edits to it will get removed if the file is opened in a newer version of Excel. Learn more: https://go.microsoft.com/fwlink/?linkid=870924
Comment:
    Total days</t>
      </text>
    </comment>
    <comment ref="R13" authorId="5" shapeId="0" xr:uid="{7F58940A-8E57-4BAE-95DA-B338A10AA2A9}">
      <text>
        <t xml:space="preserve">[Threaded comment]
Your version of Excel allows you to read this threaded comment; however, any edits to it will get removed if the file is opened in a newer version of Excel. Learn more: https://go.microsoft.com/fwlink/?linkid=870924
Comment:
    Assumes 1 level 1 training per district attending the master training at the national or regional level </t>
      </text>
    </comment>
    <comment ref="Q18" authorId="6" shapeId="0" xr:uid="{7E792ECE-758B-4D3B-965B-9B471EE80EC2}">
      <text>
        <t xml:space="preserve">[Threaded comment]
Your version of Excel allows you to read this threaded comment; however, any edits to it will get removed if the file is opened in a newer version of Excel. Learn more: https://go.microsoft.com/fwlink/?linkid=870924
Comment:
    One time transportation reimbursement for overnight training </t>
      </text>
    </comment>
    <comment ref="Q19" authorId="7" shapeId="0" xr:uid="{038E34F7-9906-4243-9885-C4B6BC559FF3}">
      <text>
        <t xml:space="preserve">[Threaded comment]
Your version of Excel allows you to read this threaded comment; however, any edits to it will get removed if the file is opened in a newer version of Excel. Learn more: https://go.microsoft.com/fwlink/?linkid=870924
Comment:
    One time transportation reimbursement for overnight training </t>
      </text>
    </comment>
    <comment ref="F35" authorId="8" shapeId="0" xr:uid="{652F46E9-8A81-47FF-BFEF-EA6ABFB5DEA9}">
      <text>
        <t>[Threaded comment]
Your version of Excel allows you to read this threaded comment; however, any edits to it will get removed if the file is opened in a newer version of Excel. Learn more: https://go.microsoft.com/fwlink/?linkid=870924
Comment:
    Total days</t>
      </text>
    </comment>
    <comment ref="S35" authorId="9" shapeId="0" xr:uid="{B62D1CE2-E3AD-4AEE-8577-B37594C3C4A0}">
      <text>
        <t>[Threaded comment]
Your version of Excel allows you to read this threaded comment; however, any edits to it will get removed if the file is opened in a newer version of Excel. Learn more: https://go.microsoft.com/fwlink/?linkid=870924
Comment:
    Total days</t>
      </text>
    </comment>
    <comment ref="E36" authorId="10" shapeId="0" xr:uid="{80AE6990-9FE7-4436-80B0-782D3EEC90DD}">
      <text>
        <t xml:space="preserve">[Threaded comment]
Your version of Excel allows you to read this threaded comment; however, any edits to it will get removed if the file is opened in a newer version of Excel. Learn more: https://go.microsoft.com/fwlink/?linkid=870924
Comment:
    Number of schools divided by avg schools per SISO (see report for sources). Replace with GES numbers on SISOs if I receive. </t>
      </text>
    </comment>
    <comment ref="F36" authorId="11" shapeId="0" xr:uid="{E969A3CB-3194-493D-89B3-95BED43CD5AC}">
      <text>
        <t>[Threaded comment]
Your version of Excel allows you to read this threaded comment; however, any edits to it will get removed if the file is opened in a newer version of Excel. Learn more: https://go.microsoft.com/fwlink/?linkid=870924
Comment:
    Total days</t>
      </text>
    </comment>
    <comment ref="S36" authorId="12" shapeId="0" xr:uid="{9F1E9394-EC47-4E06-B91C-2B028B298B7E}">
      <text>
        <t>[Threaded comment]
Your version of Excel allows you to read this threaded comment; however, any edits to it will get removed if the file is opened in a newer version of Excel. Learn more: https://go.microsoft.com/fwlink/?linkid=870924
Comment:
    Total days</t>
      </text>
    </comment>
    <comment ref="A37" authorId="13" shapeId="0" xr:uid="{F97DA2E2-C173-4391-85D1-80E00DD111BB}">
      <text>
        <t>[Threaded comment]
Your version of Excel allows you to read this threaded comment; however, any edits to it will get removed if the file is opened in a newer version of Excel. Learn more: https://go.microsoft.com/fwlink/?linkid=870924
Comment:
    One SL rep per school</t>
      </text>
    </comment>
    <comment ref="E37" authorId="14" shapeId="0" xr:uid="{F75C789E-DEBB-42E7-ABB3-7310A9B057E8}">
      <text>
        <t xml:space="preserve">[Threaded comment]
Your version of Excel allows you to read this threaded comment; however, any edits to it will get removed if the file is opened in a newer version of Excel. Learn more: https://go.microsoft.com/fwlink/?linkid=870924
Comment:
    Total HT/SL - number of primary schools. </t>
      </text>
    </comment>
    <comment ref="Q38" authorId="15" shapeId="0" xr:uid="{A862BB83-EC6A-4AC6-8A6E-AA2A87BD69E4}">
      <text>
        <t>[Threaded comment]
Your version of Excel allows you to read this threaded comment; however, any edits to it will get removed if the file is opened in a newer version of Excel. Learn more: https://go.microsoft.com/fwlink/?linkid=870924
Comment:
    1:5 ratio of student texts for training participants</t>
      </text>
    </comment>
    <comment ref="D39" authorId="16" shapeId="0" xr:uid="{A99C8955-05CC-41B4-90D2-0A9FD4A10351}">
      <text>
        <t>[Threaded comment]
Your version of Excel allows you to read this threaded comment; however, any edits to it will get removed if the file is opened in a newer version of Excel. Learn more: https://go.microsoft.com/fwlink/?linkid=870924
Comment:
    Year 2, most teachers will bring theirs, but new teachers/replacements may be required.</t>
      </text>
    </comment>
    <comment ref="Q39" authorId="17" shapeId="0" xr:uid="{71018913-1165-46EC-ADBF-7D2650712773}">
      <text>
        <t>[Threaded comment]
Your version of Excel allows you to read this threaded comment; however, any edits to it will get removed if the file is opened in a newer version of Excel. Learn more: https://go.microsoft.com/fwlink/?linkid=870924
Comment:
    Trainers have manual from Level 1 training.</t>
      </text>
    </comment>
    <comment ref="D40" authorId="18" shapeId="0" xr:uid="{F79626C3-3A01-40DB-84AD-FED32EC92F84}">
      <text>
        <t>[Threaded comment]
Your version of Excel allows you to read this threaded comment; however, any edits to it will get removed if the file is opened in a newer version of Excel. Learn more: https://go.microsoft.com/fwlink/?linkid=870924
Comment:
    1:5 ratio of student texts for training participants</t>
      </text>
    </comment>
    <comment ref="E40" authorId="19" shapeId="0" xr:uid="{76440516-9566-4787-A30A-4AF4A82F46B2}">
      <text>
        <t>[Threaded comment]
Your version of Excel allows you to read this threaded comment; however, any edits to it will get removed if the file is opened in a newer version of Excel. Learn more: https://go.microsoft.com/fwlink/?linkid=870924
Comment:
    1:5 ratio of example texts for training participants</t>
      </text>
    </comment>
    <comment ref="Q42" authorId="20" shapeId="0" xr:uid="{13A6FAF2-1F77-445A-81F0-9AA2427D062E}">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D46" authorId="21" shapeId="0" xr:uid="{31544928-BDE4-4F9A-98F9-71468416DFA0}">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R49" authorId="22" shapeId="0" xr:uid="{874E5779-3287-45D2-B877-01998EEE8486}">
      <text>
        <t>[Threaded comment]
Your version of Excel allows you to read this threaded comment; however, any edits to it will get removed if the file is opened in a newer version of Excel. Learn more: https://go.microsoft.com/fwlink/?linkid=870924
Comment:
    4 trainings per district</t>
      </text>
    </comment>
    <comment ref="S60" authorId="23" shapeId="0" xr:uid="{C91B59A7-2233-4E98-89FB-2C459969962B}">
      <text>
        <t>[Threaded comment]
Your version of Excel allows you to read this threaded comment; however, any edits to it will get removed if the file is opened in a newer version of Excel. Learn more: https://go.microsoft.com/fwlink/?linkid=870924
Comment:
    Assumes 3 school per day</t>
      </text>
    </comment>
    <comment ref="E61" authorId="24" shapeId="0" xr:uid="{C7BD1F9E-2A24-4EFF-87C1-FCBDEFD39C7A}">
      <text>
        <t xml:space="preserve">[Threaded comment]
Your version of Excel allows you to read this threaded comment; however, any edits to it will get removed if the file is opened in a newer version of Excel. Learn more: https://go.microsoft.com/fwlink/?linkid=870924
Comment:
    7 trainings per term per district (100) 
</t>
      </text>
    </comment>
    <comment ref="S61" authorId="25" shapeId="0" xr:uid="{B3D744F7-F4B7-4FA8-A62B-66EFEC237DFE}">
      <text>
        <t>[Threaded comment]
Your version of Excel allows you to read this threaded comment; however, any edits to it will get removed if the file is opened in a newer version of Excel. Learn more: https://go.microsoft.com/fwlink/?linkid=870924
Comment:
    Assumes three schools per day</t>
      </text>
    </comment>
    <comment ref="S62" authorId="26" shapeId="0" xr:uid="{96B9BF79-2BE0-45AE-B3A1-40A20E34129C}">
      <text>
        <t>[Threaded comment]
Your version of Excel allows you to read this threaded comment; however, any edits to it will get removed if the file is opened in a newer version of Excel. Learn more: https://go.microsoft.com/fwlink/?linkid=870924
Comment:
    Assumes two observations per school visit</t>
      </text>
    </comment>
    <comment ref="F73" authorId="27" shapeId="0" xr:uid="{7EB8E4F3-7891-4D31-8048-1FB25225A53F}">
      <text>
        <t>[Threaded comment]
Your version of Excel allows you to read this threaded comment; however, any edits to it will get removed if the file is opened in a newer version of Excel. Learn more: https://go.microsoft.com/fwlink/?linkid=870924
Comment:
    Total days</t>
      </text>
    </comment>
    <comment ref="D75" authorId="28" shapeId="0" xr:uid="{282F7B6C-D8D3-49BE-9C6A-90BE01917E20}">
      <text>
        <t>[Threaded comment]
Your version of Excel allows you to read this threaded comment; however, any edits to it will get removed if the file is opened in a newer version of Excel. Learn more: https://go.microsoft.com/fwlink/?linkid=870924
Comment:
    Assumes most teachers bring their own, some required for new teachers/replacements</t>
      </text>
    </comment>
    <comment ref="D80" authorId="29" shapeId="0" xr:uid="{49CE3A60-379E-46AA-8978-866A993B4119}">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E87" authorId="30" shapeId="0" xr:uid="{63DFC1B1-F8AD-4462-9ACC-EFA1713D6FEC}">
      <text>
        <t xml:space="preserve">[Threaded comment]
Your version of Excel allows you to read this threaded comment; however, any edits to it will get removed if the file is opened in a newer version of Excel. Learn more: https://go.microsoft.com/fwlink/?linkid=870924
Comment:
    7
 trainings per term per district (100) 
</t>
      </text>
    </comment>
    <comment ref="F97" authorId="31" shapeId="0" xr:uid="{676D92EB-577F-4C41-9D23-D5E6BD0F92F3}">
      <text>
        <t>[Threaded comment]
Your version of Excel allows you to read this threaded comment; however, any edits to it will get removed if the file is opened in a newer version of Excel. Learn more: https://go.microsoft.com/fwlink/?linkid=870924
Comment:
    10% annual replacement rate</t>
      </text>
    </comment>
    <comment ref="F98" authorId="32" shapeId="0" xr:uid="{A1280FE0-7441-4780-9A52-BC043BF7E4C9}">
      <text>
        <t>[Threaded comment]
Your version of Excel allows you to read this threaded comment; however, any edits to it will get removed if the file is opened in a newer version of Excel. Learn more: https://go.microsoft.com/fwlink/?linkid=870924
Comment:
    10% annual replacement rate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tc={57F9AE5B-035A-4C1D-9EB6-EDEE6254FAC5}</author>
    <author>tc={6CF8837C-469B-40E2-B371-2E435DC52A42}</author>
    <author>tc={703F96F3-B61E-4D26-955F-E3DD905E7373}</author>
    <author>tc={EADF1056-2B51-4B75-983B-5B920119AA0B}</author>
    <author>tc={616DBFBF-EDB5-41BB-AE5D-0A5095C5978B}</author>
    <author>tc={F00B2E25-5AB0-4D95-9DB0-6219F8897438}</author>
    <author>tc={D20F0684-4C93-4312-9993-8B46A2F3F204}</author>
    <author>tc={316AF83F-857E-49F5-A32A-7543E120A42C}</author>
    <author>tc={92DB6D56-8485-4414-B02D-BC4A6DE493DC}</author>
    <author>tc={A668AE4C-AD85-4723-BE50-2535AB1B0E5E}</author>
    <author>tc={84344881-6DB7-4F58-8287-BC74A51D57D1}</author>
    <author>tc={17871999-3065-4B85-BA22-007F88DAD3BC}</author>
    <author>tc={80FAA39D-2CF1-4567-86D5-192544573AC2}</author>
    <author>tc={89F01F95-48E3-44EA-8B10-A3D28D83BF34}</author>
    <author>tc={86BD37CB-7CE2-4EF8-BD2A-75D9DA835F38}</author>
    <author>tc={A26F22F4-31B2-4E48-A53C-D12B4030B4FD}</author>
    <author>tc={A5AA477C-85AA-4791-9B88-466155956A8D}</author>
    <author>tc={ADFA0944-C917-4FE2-9FCC-3C07D6E2B171}</author>
    <author>tc={4A57BD33-6015-4805-BD56-9C6E71970BC7}</author>
    <author>tc={42EF8EC9-AE8C-47EA-90FA-7A24F3E7500F}</author>
    <author>tc={19E8C8DB-57C4-4A4C-93BC-CE536AC6B97B}</author>
    <author>tc={0C0D547A-D645-41B7-A37D-9F0BDA46BA01}</author>
    <author>tc={FB24F9C9-6760-4D82-89CE-ABB8838E2A45}</author>
    <author>tc={F637BAD7-0E8C-455E-B807-0230A5A10D8D}</author>
    <author>tc={CB4B16DA-3B3D-4D60-A7EC-FF493A78CBAB}</author>
    <author>tc={16D69EE0-DEA2-4F5F-95B0-471ACCD56385}</author>
    <author>tc={885F77C7-3A2D-45F4-9F6F-5B977EA0E3B0}</author>
    <author>tc={4ACC359F-BDCE-4950-A318-9A87E7A6339C}</author>
    <author>tc={291B5672-6B03-4AFD-B0BC-132EC1DE2FCE}</author>
    <author>tc={DCC74169-4B08-43AF-AA2E-E27DABF03EEB}</author>
    <author>tc={4C51F4C2-E4C5-4E0D-AE95-214BD2D482F0}</author>
    <author>tc={BFF343FA-A6FD-43DD-902D-3A1F65F48F8F}</author>
    <author>tc={6A9FB34E-21F7-486C-9BAF-8AB7221F55CB}</author>
  </authors>
  <commentList>
    <comment ref="E12" authorId="0" shapeId="0" xr:uid="{57F9AE5B-035A-4C1D-9EB6-EDEE6254FAC5}">
      <text>
        <t>[Threaded comment]
Your version of Excel allows you to read this threaded comment; however, any edits to it will get removed if the file is opened in a newer version of Excel. Learn more: https://go.microsoft.com/fwlink/?linkid=870924
Comment:
    Assumes 20 regions and one national level trainer per region</t>
      </text>
    </comment>
    <comment ref="F12" authorId="1" shapeId="0" xr:uid="{6CF8837C-469B-40E2-B371-2E435DC52A42}">
      <text>
        <t>[Threaded comment]
Your version of Excel allows you to read this threaded comment; however, any edits to it will get removed if the file is opened in a newer version of Excel. Learn more: https://go.microsoft.com/fwlink/?linkid=870924
Comment:
    Total days</t>
      </text>
    </comment>
    <comment ref="R12" authorId="2" shapeId="0" xr:uid="{703F96F3-B61E-4D26-955F-E3DD905E7373}">
      <text>
        <t>[Threaded comment]
Your version of Excel allows you to read this threaded comment; however, any edits to it will get removed if the file is opened in a newer version of Excel. Learn more: https://go.microsoft.com/fwlink/?linkid=870924
Comment:
    Assumes 20 regions and one national level trainer per region</t>
      </text>
    </comment>
    <comment ref="E13" authorId="3" shapeId="0" xr:uid="{EADF1056-2B51-4B75-983B-5B920119AA0B}">
      <text>
        <t xml:space="preserve">[Threaded comment]
Your version of Excel allows you to read this threaded comment; however, any edits to it will get removed if the file is opened in a newer version of Excel. Learn more: https://go.microsoft.com/fwlink/?linkid=870924
Comment:
    Assumes 4 trainers per district attending the master training at the national or regional level </t>
      </text>
    </comment>
    <comment ref="F13" authorId="4" shapeId="0" xr:uid="{616DBFBF-EDB5-41BB-AE5D-0A5095C5978B}">
      <text>
        <t>[Threaded comment]
Your version of Excel allows you to read this threaded comment; however, any edits to it will get removed if the file is opened in a newer version of Excel. Learn more: https://go.microsoft.com/fwlink/?linkid=870924
Comment:
    Total days</t>
      </text>
    </comment>
    <comment ref="R13" authorId="5" shapeId="0" xr:uid="{F00B2E25-5AB0-4D95-9DB0-6219F8897438}">
      <text>
        <t xml:space="preserve">[Threaded comment]
Your version of Excel allows you to read this threaded comment; however, any edits to it will get removed if the file is opened in a newer version of Excel. Learn more: https://go.microsoft.com/fwlink/?linkid=870924
Comment:
    Assumes 1 level 1 training per district attending the master training at the national or regional level </t>
      </text>
    </comment>
    <comment ref="Q18" authorId="6" shapeId="0" xr:uid="{D20F0684-4C93-4312-9993-8B46A2F3F204}">
      <text>
        <t xml:space="preserve">[Threaded comment]
Your version of Excel allows you to read this threaded comment; however, any edits to it will get removed if the file is opened in a newer version of Excel. Learn more: https://go.microsoft.com/fwlink/?linkid=870924
Comment:
    One time transportation reimbursement for overnight training </t>
      </text>
    </comment>
    <comment ref="Q19" authorId="7" shapeId="0" xr:uid="{316AF83F-857E-49F5-A32A-7543E120A42C}">
      <text>
        <t xml:space="preserve">[Threaded comment]
Your version of Excel allows you to read this threaded comment; however, any edits to it will get removed if the file is opened in a newer version of Excel. Learn more: https://go.microsoft.com/fwlink/?linkid=870924
Comment:
    One time transportation reimbursement for overnight training </t>
      </text>
    </comment>
    <comment ref="F35" authorId="8" shapeId="0" xr:uid="{92DB6D56-8485-4414-B02D-BC4A6DE493DC}">
      <text>
        <t>[Threaded comment]
Your version of Excel allows you to read this threaded comment; however, any edits to it will get removed if the file is opened in a newer version of Excel. Learn more: https://go.microsoft.com/fwlink/?linkid=870924
Comment:
    Total days</t>
      </text>
    </comment>
    <comment ref="S35" authorId="9" shapeId="0" xr:uid="{A668AE4C-AD85-4723-BE50-2535AB1B0E5E}">
      <text>
        <t>[Threaded comment]
Your version of Excel allows you to read this threaded comment; however, any edits to it will get removed if the file is opened in a newer version of Excel. Learn more: https://go.microsoft.com/fwlink/?linkid=870924
Comment:
    Total days</t>
      </text>
    </comment>
    <comment ref="E36" authorId="10" shapeId="0" xr:uid="{84344881-6DB7-4F58-8287-BC74A51D57D1}">
      <text>
        <t xml:space="preserve">[Threaded comment]
Your version of Excel allows you to read this threaded comment; however, any edits to it will get removed if the file is opened in a newer version of Excel. Learn more: https://go.microsoft.com/fwlink/?linkid=870924
Comment:
    Number of schools divided by avg schools per SISO (see report for sources). Replace with GES numbers on SISOs if I receive. </t>
      </text>
    </comment>
    <comment ref="F36" authorId="11" shapeId="0" xr:uid="{17871999-3065-4B85-BA22-007F88DAD3BC}">
      <text>
        <t>[Threaded comment]
Your version of Excel allows you to read this threaded comment; however, any edits to it will get removed if the file is opened in a newer version of Excel. Learn more: https://go.microsoft.com/fwlink/?linkid=870924
Comment:
    Total days</t>
      </text>
    </comment>
    <comment ref="S36" authorId="12" shapeId="0" xr:uid="{80FAA39D-2CF1-4567-86D5-192544573AC2}">
      <text>
        <t>[Threaded comment]
Your version of Excel allows you to read this threaded comment; however, any edits to it will get removed if the file is opened in a newer version of Excel. Learn more: https://go.microsoft.com/fwlink/?linkid=870924
Comment:
    Total days</t>
      </text>
    </comment>
    <comment ref="A37" authorId="13" shapeId="0" xr:uid="{89F01F95-48E3-44EA-8B10-A3D28D83BF34}">
      <text>
        <t>[Threaded comment]
Your version of Excel allows you to read this threaded comment; however, any edits to it will get removed if the file is opened in a newer version of Excel. Learn more: https://go.microsoft.com/fwlink/?linkid=870924
Comment:
    One SL rep per school</t>
      </text>
    </comment>
    <comment ref="E37" authorId="14" shapeId="0" xr:uid="{86BD37CB-7CE2-4EF8-BD2A-75D9DA835F38}">
      <text>
        <t xml:space="preserve">[Threaded comment]
Your version of Excel allows you to read this threaded comment; however, any edits to it will get removed if the file is opened in a newer version of Excel. Learn more: https://go.microsoft.com/fwlink/?linkid=870924
Comment:
    Total HT/SL - number of primary schools. </t>
      </text>
    </comment>
    <comment ref="Q38" authorId="15" shapeId="0" xr:uid="{A26F22F4-31B2-4E48-A53C-D12B4030B4FD}">
      <text>
        <t>[Threaded comment]
Your version of Excel allows you to read this threaded comment; however, any edits to it will get removed if the file is opened in a newer version of Excel. Learn more: https://go.microsoft.com/fwlink/?linkid=870924
Comment:
    1:5 ratio of student texts for training participants</t>
      </text>
    </comment>
    <comment ref="D39" authorId="16" shapeId="0" xr:uid="{A5AA477C-85AA-4791-9B88-466155956A8D}">
      <text>
        <t>[Threaded comment]
Your version of Excel allows you to read this threaded comment; however, any edits to it will get removed if the file is opened in a newer version of Excel. Learn more: https://go.microsoft.com/fwlink/?linkid=870924
Comment:
    Year 2, most teachers will bring theirs, but new teachers/replacements may be required.</t>
      </text>
    </comment>
    <comment ref="Q39" authorId="17" shapeId="0" xr:uid="{ADFA0944-C917-4FE2-9FCC-3C07D6E2B171}">
      <text>
        <t>[Threaded comment]
Your version of Excel allows you to read this threaded comment; however, any edits to it will get removed if the file is opened in a newer version of Excel. Learn more: https://go.microsoft.com/fwlink/?linkid=870924
Comment:
    Trainers have manual from Level 1 training.</t>
      </text>
    </comment>
    <comment ref="D40" authorId="18" shapeId="0" xr:uid="{4A57BD33-6015-4805-BD56-9C6E71970BC7}">
      <text>
        <t>[Threaded comment]
Your version of Excel allows you to read this threaded comment; however, any edits to it will get removed if the file is opened in a newer version of Excel. Learn more: https://go.microsoft.com/fwlink/?linkid=870924
Comment:
    1:5 ratio of student texts for training participants</t>
      </text>
    </comment>
    <comment ref="E40" authorId="19" shapeId="0" xr:uid="{42EF8EC9-AE8C-47EA-90FA-7A24F3E7500F}">
      <text>
        <t>[Threaded comment]
Your version of Excel allows you to read this threaded comment; however, any edits to it will get removed if the file is opened in a newer version of Excel. Learn more: https://go.microsoft.com/fwlink/?linkid=870924
Comment:
    1:5 ratio of example texts for training participants</t>
      </text>
    </comment>
    <comment ref="Q42" authorId="20" shapeId="0" xr:uid="{19E8C8DB-57C4-4A4C-93BC-CE536AC6B97B}">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D46" authorId="21" shapeId="0" xr:uid="{0C0D547A-D645-41B7-A37D-9F0BDA46BA01}">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R49" authorId="22" shapeId="0" xr:uid="{FB24F9C9-6760-4D82-89CE-ABB8838E2A45}">
      <text>
        <t>[Threaded comment]
Your version of Excel allows you to read this threaded comment; however, any edits to it will get removed if the file is opened in a newer version of Excel. Learn more: https://go.microsoft.com/fwlink/?linkid=870924
Comment:
    4 trainings per district</t>
      </text>
    </comment>
    <comment ref="S60" authorId="23" shapeId="0" xr:uid="{F637BAD7-0E8C-455E-B807-0230A5A10D8D}">
      <text>
        <t>[Threaded comment]
Your version of Excel allows you to read this threaded comment; however, any edits to it will get removed if the file is opened in a newer version of Excel. Learn more: https://go.microsoft.com/fwlink/?linkid=870924
Comment:
    Assumes 3 school per day</t>
      </text>
    </comment>
    <comment ref="E61" authorId="24" shapeId="0" xr:uid="{CB4B16DA-3B3D-4D60-A7EC-FF493A78CBAB}">
      <text>
        <t xml:space="preserve">[Threaded comment]
Your version of Excel allows you to read this threaded comment; however, any edits to it will get removed if the file is opened in a newer version of Excel. Learn more: https://go.microsoft.com/fwlink/?linkid=870924
Comment:
    7 trainings per term per district (100) 
</t>
      </text>
    </comment>
    <comment ref="S61" authorId="25" shapeId="0" xr:uid="{16D69EE0-DEA2-4F5F-95B0-471ACCD56385}">
      <text>
        <t>[Threaded comment]
Your version of Excel allows you to read this threaded comment; however, any edits to it will get removed if the file is opened in a newer version of Excel. Learn more: https://go.microsoft.com/fwlink/?linkid=870924
Comment:
    Assumes three schools per day</t>
      </text>
    </comment>
    <comment ref="S62" authorId="26" shapeId="0" xr:uid="{885F77C7-3A2D-45F4-9F6F-5B977EA0E3B0}">
      <text>
        <t>[Threaded comment]
Your version of Excel allows you to read this threaded comment; however, any edits to it will get removed if the file is opened in a newer version of Excel. Learn more: https://go.microsoft.com/fwlink/?linkid=870924
Comment:
    Assumes two observations per school visit</t>
      </text>
    </comment>
    <comment ref="F73" authorId="27" shapeId="0" xr:uid="{4ACC359F-BDCE-4950-A318-9A87E7A6339C}">
      <text>
        <t>[Threaded comment]
Your version of Excel allows you to read this threaded comment; however, any edits to it will get removed if the file is opened in a newer version of Excel. Learn more: https://go.microsoft.com/fwlink/?linkid=870924
Comment:
    Total days</t>
      </text>
    </comment>
    <comment ref="D75" authorId="28" shapeId="0" xr:uid="{291B5672-6B03-4AFD-B0BC-132EC1DE2FCE}">
      <text>
        <t>[Threaded comment]
Your version of Excel allows you to read this threaded comment; however, any edits to it will get removed if the file is opened in a newer version of Excel. Learn more: https://go.microsoft.com/fwlink/?linkid=870924
Comment:
    Assumes most teachers bring their own, some required for new teachers/replacements</t>
      </text>
    </comment>
    <comment ref="D80" authorId="29" shapeId="0" xr:uid="{DCC74169-4B08-43AF-AA2E-E27DABF03EEB}">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E87" authorId="30" shapeId="0" xr:uid="{4C51F4C2-E4C5-4E0D-AE95-214BD2D482F0}">
      <text>
        <t xml:space="preserve">[Threaded comment]
Your version of Excel allows you to read this threaded comment; however, any edits to it will get removed if the file is opened in a newer version of Excel. Learn more: https://go.microsoft.com/fwlink/?linkid=870924
Comment:
    7
 trainings per term per district (100) 
</t>
      </text>
    </comment>
    <comment ref="F97" authorId="31" shapeId="0" xr:uid="{BFF343FA-A6FD-43DD-902D-3A1F65F48F8F}">
      <text>
        <t>[Threaded comment]
Your version of Excel allows you to read this threaded comment; however, any edits to it will get removed if the file is opened in a newer version of Excel. Learn more: https://go.microsoft.com/fwlink/?linkid=870924
Comment:
    10% annual replacement rate</t>
      </text>
    </comment>
    <comment ref="F98" authorId="32" shapeId="0" xr:uid="{6A9FB34E-21F7-486C-9BAF-8AB7221F55CB}">
      <text>
        <t>[Threaded comment]
Your version of Excel allows you to read this threaded comment; however, any edits to it will get removed if the file is opened in a newer version of Excel. Learn more: https://go.microsoft.com/fwlink/?linkid=870924
Comment:
    10% annual replacement rate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tc={6485928E-C124-463F-9718-4D9F470C6BFF}</author>
    <author>tc={C3628375-E64F-4FD0-90E4-2B035EABBA67}</author>
    <author>tc={A3538747-19EE-4FD1-84C9-5E5516C45CDE}</author>
    <author>tc={2030B422-FBF0-400B-9D6B-2C71227F9356}</author>
    <author>tc={6BCFEF14-C62C-4264-ABAF-7E2888DB950C}</author>
    <author>tc={425AE8C5-FBFD-4194-AF60-511F8F37340D}</author>
    <author>tc={AF4AD15B-0582-4B58-9821-6AED5A473C02}</author>
    <author>tc={14133F03-50E2-4FC4-998E-82524B306F17}</author>
    <author>tc={D562C302-E36B-45C7-95C0-6AEDEB696C62}</author>
    <author>tc={0D9D9040-6CAA-4489-B8D6-186DF3805338}</author>
    <author>tc={F75B79E8-3AE8-40E0-9CAF-4A502D572D00}</author>
    <author>tc={1E3A9B3A-7456-401D-9915-A36B11299372}</author>
    <author>tc={1066E0FB-2C77-4A5D-BF65-6B4CF6B9508C}</author>
  </authors>
  <commentList>
    <comment ref="E12" authorId="0" shapeId="0" xr:uid="{6485928E-C124-463F-9718-4D9F470C6BFF}">
      <text>
        <t>[Threaded comment]
Your version of Excel allows you to read this threaded comment; however, any edits to it will get removed if the file is opened in a newer version of Excel. Learn more: https://go.microsoft.com/fwlink/?linkid=870924
Comment:
    Assumes 20 regions and one national level trainer per region</t>
      </text>
    </comment>
    <comment ref="E13" authorId="1" shapeId="0" xr:uid="{C3628375-E64F-4FD0-90E4-2B035EABBA67}">
      <text>
        <t xml:space="preserve">[Threaded comment]
Your version of Excel allows you to read this threaded comment; however, any edits to it will get removed if the file is opened in a newer version of Excel. Learn more: https://go.microsoft.com/fwlink/?linkid=870924
Comment:
    Assumes 1 level 1 training per district attending the master training at the national or regional level </t>
      </text>
    </comment>
    <comment ref="D18" authorId="2" shapeId="0" xr:uid="{A3538747-19EE-4FD1-84C9-5E5516C45CDE}">
      <text>
        <t xml:space="preserve">[Threaded comment]
Your version of Excel allows you to read this threaded comment; however, any edits to it will get removed if the file is opened in a newer version of Excel. Learn more: https://go.microsoft.com/fwlink/?linkid=870924
Comment:
    One time transportation reimbursement for overnight training </t>
      </text>
    </comment>
    <comment ref="D19" authorId="3" shapeId="0" xr:uid="{2030B422-FBF0-400B-9D6B-2C71227F9356}">
      <text>
        <t xml:space="preserve">[Threaded comment]
Your version of Excel allows you to read this threaded comment; however, any edits to it will get removed if the file is opened in a newer version of Excel. Learn more: https://go.microsoft.com/fwlink/?linkid=870924
Comment:
    One time transportation reimbursement for overnight training </t>
      </text>
    </comment>
    <comment ref="F35" authorId="4" shapeId="0" xr:uid="{6BCFEF14-C62C-4264-ABAF-7E2888DB950C}">
      <text>
        <t>[Threaded comment]
Your version of Excel allows you to read this threaded comment; however, any edits to it will get removed if the file is opened in a newer version of Excel. Learn more: https://go.microsoft.com/fwlink/?linkid=870924
Comment:
    Total days</t>
      </text>
    </comment>
    <comment ref="F36" authorId="5" shapeId="0" xr:uid="{425AE8C5-FBFD-4194-AF60-511F8F37340D}">
      <text>
        <t>[Threaded comment]
Your version of Excel allows you to read this threaded comment; however, any edits to it will get removed if the file is opened in a newer version of Excel. Learn more: https://go.microsoft.com/fwlink/?linkid=870924
Comment:
    Total days</t>
      </text>
    </comment>
    <comment ref="D38" authorId="6" shapeId="0" xr:uid="{AF4AD15B-0582-4B58-9821-6AED5A473C02}">
      <text>
        <t>[Threaded comment]
Your version of Excel allows you to read this threaded comment; however, any edits to it will get removed if the file is opened in a newer version of Excel. Learn more: https://go.microsoft.com/fwlink/?linkid=870924
Comment:
    1:5 ratio of student texts for training participants</t>
      </text>
    </comment>
    <comment ref="D39" authorId="7" shapeId="0" xr:uid="{14133F03-50E2-4FC4-998E-82524B306F17}">
      <text>
        <t>[Threaded comment]
Your version of Excel allows you to read this threaded comment; however, any edits to it will get removed if the file is opened in a newer version of Excel. Learn more: https://go.microsoft.com/fwlink/?linkid=870924
Comment:
    Trainers have manual from Level 1 training.</t>
      </text>
    </comment>
    <comment ref="D42" authorId="8" shapeId="0" xr:uid="{D562C302-E36B-45C7-95C0-6AEDEB696C62}">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E49" authorId="9" shapeId="0" xr:uid="{0D9D9040-6CAA-4489-B8D6-186DF3805338}">
      <text>
        <t>[Threaded comment]
Your version of Excel allows you to read this threaded comment; however, any edits to it will get removed if the file is opened in a newer version of Excel. Learn more: https://go.microsoft.com/fwlink/?linkid=870924
Comment:
    4 trainings per district</t>
      </text>
    </comment>
    <comment ref="F60" authorId="10" shapeId="0" xr:uid="{F75B79E8-3AE8-40E0-9CAF-4A502D572D00}">
      <text>
        <t>[Threaded comment]
Your version of Excel allows you to read this threaded comment; however, any edits to it will get removed if the file is opened in a newer version of Excel. Learn more: https://go.microsoft.com/fwlink/?linkid=870924
Comment:
    Assumes 3 school per day</t>
      </text>
    </comment>
    <comment ref="F61" authorId="11" shapeId="0" xr:uid="{1E3A9B3A-7456-401D-9915-A36B11299372}">
      <text>
        <t>[Threaded comment]
Your version of Excel allows you to read this threaded comment; however, any edits to it will get removed if the file is opened in a newer version of Excel. Learn more: https://go.microsoft.com/fwlink/?linkid=870924
Comment:
    Assumes three schools per day</t>
      </text>
    </comment>
    <comment ref="F62" authorId="12" shapeId="0" xr:uid="{1066E0FB-2C77-4A5D-BF65-6B4CF6B9508C}">
      <text>
        <t>[Threaded comment]
Your version of Excel allows you to read this threaded comment; however, any edits to it will get removed if the file is opened in a newer version of Excel. Learn more: https://go.microsoft.com/fwlink/?linkid=870924
Comment:
    Assumes two observations per school visit</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tc={A4D6C9C5-7E25-44A6-B214-FE7C4E0530AA}</author>
    <author>tc={99004A91-2826-41F2-88DA-C98650C1545C}</author>
  </authors>
  <commentList>
    <comment ref="G2" authorId="0" shapeId="0" xr:uid="{A4D6C9C5-7E25-44A6-B214-FE7C4E0530AA}">
      <text>
        <t>[Threaded comment]
Your version of Excel allows you to read this threaded comment; however, any edits to it will get removed if the file is opened in a newer version of Excel. Learn more: https://go.microsoft.com/fwlink/?linkid=870924
Comment:
    Updated 5/26 per further review of projected inflation rate ranges.</t>
      </text>
    </comment>
    <comment ref="A35" authorId="1" shapeId="0" xr:uid="{99004A91-2826-41F2-88DA-C98650C1545C}">
      <text>
        <t>[Threaded comment]
Your version of Excel allows you to read this threaded comment; however, any edits to it will get removed if the file is opened in a newer version of Excel. Learn more: https://go.microsoft.com/fwlink/?linkid=870924
Comment:
    (minus direct payments to facility for food/accommodation) as applicable</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tc={F0291AA2-0956-42A6-A237-2520956C047D}</author>
  </authors>
  <commentList>
    <comment ref="E9" authorId="0" shapeId="0" xr:uid="{F0291AA2-0956-42A6-A237-2520956C047D}">
      <text>
        <t>[Threaded comment]
Your version of Excel allows you to read this threaded comment; however, any edits to it will get removed if the file is opened in a newer version of Excel. Learn more: https://go.microsoft.com/fwlink/?linkid=870924
Comment:
    With cost to govt</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tc={5308905F-D0E1-4489-ABF5-9BE86A0FFC6D}</author>
    <author>tc={7D6A444E-07F6-40B2-88D6-AC596BAABC08}</author>
    <author>tc={5C8DBDA2-BBA9-4FF0-AFB1-87BA4B48261B}</author>
    <author>tc={CBC01416-5CEF-4066-B7E8-691BC2ABEAC6}</author>
    <author>tc={D1DBFF15-D26F-411D-9A92-8B1FC80F8314}</author>
    <author>tc={B30C36D2-1CC9-4A43-BC33-0677B30C85E0}</author>
    <author>tc={1A769AF0-6528-4625-B4F3-2A04EC817589}</author>
    <author>tc={ADF5CF65-2E33-4E08-80EB-7D5F9D378322}</author>
    <author>tc={31BF621A-E2FA-4A01-AFA1-CF379AE61A38}</author>
    <author>tc={333779BD-677B-4113-A128-D61578243C60}</author>
    <author>tc={28F37E7C-5466-4247-B176-97282FAD3FCD}</author>
    <author>tc={5E6834A3-CC11-4A2E-B1DE-B3682549EC03}</author>
    <author>tc={FBA777A9-2FB0-4783-A5EB-C0CAD75B1145}</author>
    <author>tc={E14D504C-9111-43E1-850B-DD14AC54CB54}</author>
    <author>tc={9B0CC81C-00AB-4483-A5E3-221FD7E5ACDE}</author>
    <author>tc={4228495A-C776-4F86-9E58-25EE540BC75D}</author>
    <author>tc={D579A36E-4A39-4A87-8A54-FDA3D0998F7A}</author>
    <author>tc={80E6EC4E-E6C6-46E8-9B9C-AC8D5EF9664A}</author>
    <author>tc={4C12DF5B-C135-4FDC-8122-47E1D492A89A}</author>
    <author>tc={090A7A91-8323-47C9-A2B1-93CB13D7427C}</author>
  </authors>
  <commentList>
    <comment ref="E12" authorId="0" shapeId="0" xr:uid="{5308905F-D0E1-4489-ABF5-9BE86A0FFC6D}">
      <text>
        <t>[Threaded comment]
Your version of Excel allows you to read this threaded comment; however, any edits to it will get removed if the file is opened in a newer version of Excel. Learn more: https://go.microsoft.com/fwlink/?linkid=870924
Comment:
    Assumes 20 regions and one national level trainer per region</t>
      </text>
    </comment>
    <comment ref="F12" authorId="1" shapeId="0" xr:uid="{7D6A444E-07F6-40B2-88D6-AC596BAABC08}">
      <text>
        <t>[Threaded comment]
Your version of Excel allows you to read this threaded comment; however, any edits to it will get removed if the file is opened in a newer version of Excel. Learn more: https://go.microsoft.com/fwlink/?linkid=870924
Comment:
    Total days</t>
      </text>
    </comment>
    <comment ref="E13" authorId="2" shapeId="0" xr:uid="{5C8DBDA2-BBA9-4FF0-AFB1-87BA4B48261B}">
      <text>
        <t xml:space="preserve">[Threaded comment]
Your version of Excel allows you to read this threaded comment; however, any edits to it will get removed if the file is opened in a newer version of Excel. Learn more: https://go.microsoft.com/fwlink/?linkid=870924
Comment:
    Assumes 4 trainers per district attending the master training at the national or regional level </t>
      </text>
    </comment>
    <comment ref="F13" authorId="3" shapeId="0" xr:uid="{CBC01416-5CEF-4066-B7E8-691BC2ABEAC6}">
      <text>
        <t>[Threaded comment]
Your version of Excel allows you to read this threaded comment; however, any edits to it will get removed if the file is opened in a newer version of Excel. Learn more: https://go.microsoft.com/fwlink/?linkid=870924
Comment:
    Total days</t>
      </text>
    </comment>
    <comment ref="F35" authorId="4" shapeId="0" xr:uid="{D1DBFF15-D26F-411D-9A92-8B1FC80F8314}">
      <text>
        <t>[Threaded comment]
Your version of Excel allows you to read this threaded comment; however, any edits to it will get removed if the file is opened in a newer version of Excel. Learn more: https://go.microsoft.com/fwlink/?linkid=870924
Comment:
    Total days</t>
      </text>
    </comment>
    <comment ref="E36" authorId="5" shapeId="0" xr:uid="{B30C36D2-1CC9-4A43-BC33-0677B30C85E0}">
      <text>
        <t xml:space="preserve">[Threaded comment]
Your version of Excel allows you to read this threaded comment; however, any edits to it will get removed if the file is opened in a newer version of Excel. Learn more: https://go.microsoft.com/fwlink/?linkid=870924
Comment:
    Number of schools divided by avg schools per SISO (see report for sources). Replace with GES numbers on SISOs if I receive. </t>
      </text>
    </comment>
    <comment ref="F36" authorId="6" shapeId="0" xr:uid="{1A769AF0-6528-4625-B4F3-2A04EC817589}">
      <text>
        <t>[Threaded comment]
Your version of Excel allows you to read this threaded comment; however, any edits to it will get removed if the file is opened in a newer version of Excel. Learn more: https://go.microsoft.com/fwlink/?linkid=870924
Comment:
    Total days</t>
      </text>
    </comment>
    <comment ref="A37" authorId="7" shapeId="0" xr:uid="{ADF5CF65-2E33-4E08-80EB-7D5F9D378322}">
      <text>
        <t>[Threaded comment]
Your version of Excel allows you to read this threaded comment; however, any edits to it will get removed if the file is opened in a newer version of Excel. Learn more: https://go.microsoft.com/fwlink/?linkid=870924
Comment:
    One SL rep per school</t>
      </text>
    </comment>
    <comment ref="E37" authorId="8" shapeId="0" xr:uid="{31BF621A-E2FA-4A01-AFA1-CF379AE61A38}">
      <text>
        <t xml:space="preserve">[Threaded comment]
Your version of Excel allows you to read this threaded comment; however, any edits to it will get removed if the file is opened in a newer version of Excel. Learn more: https://go.microsoft.com/fwlink/?linkid=870924
Comment:
    Total HT/SL - number of primary schools. </t>
      </text>
    </comment>
    <comment ref="D39" authorId="9" shapeId="0" xr:uid="{333779BD-677B-4113-A128-D61578243C60}">
      <text>
        <t>[Threaded comment]
Your version of Excel allows you to read this threaded comment; however, any edits to it will get removed if the file is opened in a newer version of Excel. Learn more: https://go.microsoft.com/fwlink/?linkid=870924
Comment:
    Assumes most teachers will have their own, but some new teachers/replacements</t>
      </text>
    </comment>
    <comment ref="D40" authorId="10" shapeId="0" xr:uid="{28F37E7C-5466-4247-B176-97282FAD3FCD}">
      <text>
        <t>[Threaded comment]
Your version of Excel allows you to read this threaded comment; however, any edits to it will get removed if the file is opened in a newer version of Excel. Learn more: https://go.microsoft.com/fwlink/?linkid=870924
Comment:
    1:5 ratio of student texts for training participants</t>
      </text>
    </comment>
    <comment ref="E40" authorId="11" shapeId="0" xr:uid="{5E6834A3-CC11-4A2E-B1DE-B3682549EC03}">
      <text>
        <t>[Threaded comment]
Your version of Excel allows you to read this threaded comment; however, any edits to it will get removed if the file is opened in a newer version of Excel. Learn more: https://go.microsoft.com/fwlink/?linkid=870924
Comment:
    1:5 ratio of example texts for training participants</t>
      </text>
    </comment>
    <comment ref="D46" authorId="12" shapeId="0" xr:uid="{FBA777A9-2FB0-4783-A5EB-C0CAD75B1145}">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E61" authorId="13" shapeId="0" xr:uid="{E14D504C-9111-43E1-850B-DD14AC54CB54}">
      <text>
        <t xml:space="preserve">[Threaded comment]
Your version of Excel allows you to read this threaded comment; however, any edits to it will get removed if the file is opened in a newer version of Excel. Learn more: https://go.microsoft.com/fwlink/?linkid=870924
Comment:
    5 trainings per term per district (100) 
</t>
      </text>
    </comment>
    <comment ref="F73" authorId="14" shapeId="0" xr:uid="{9B0CC81C-00AB-4483-A5E3-221FD7E5ACDE}">
      <text>
        <t>[Threaded comment]
Your version of Excel allows you to read this threaded comment; however, any edits to it will get removed if the file is opened in a newer version of Excel. Learn more: https://go.microsoft.com/fwlink/?linkid=870924
Comment:
    Total days</t>
      </text>
    </comment>
    <comment ref="D75" authorId="15" shapeId="0" xr:uid="{4228495A-C776-4F86-9E58-25EE540BC75D}">
      <text>
        <t xml:space="preserve">[Threaded comment]
Your version of Excel allows you to read this threaded comment; however, any edits to it will get removed if the file is opened in a newer version of Excel. Learn more: https://go.microsoft.com/fwlink/?linkid=870924
Comment:
    Assumes most teachers have their own, some new teachers/replacements 
</t>
      </text>
    </comment>
    <comment ref="D80" authorId="16" shapeId="0" xr:uid="{D579A36E-4A39-4A87-8A54-FDA3D0998F7A}">
      <text>
        <t>[Threaded comment]
Your version of Excel allows you to read this threaded comment; however, any edits to it will get removed if the file is opened in a newer version of Excel. Learn more: https://go.microsoft.com/fwlink/?linkid=870924
Comment:
    One time travel payment for overnight trainees</t>
      </text>
    </comment>
    <comment ref="E87" authorId="17" shapeId="0" xr:uid="{80E6EC4E-E6C6-46E8-9B9C-AC8D5EF9664A}">
      <text>
        <t xml:space="preserve">[Threaded comment]
Your version of Excel allows you to read this threaded comment; however, any edits to it will get removed if the file is opened in a newer version of Excel. Learn more: https://go.microsoft.com/fwlink/?linkid=870924
Comment:
    5 trainings per term per district (100) 
</t>
      </text>
    </comment>
    <comment ref="F97" authorId="18" shapeId="0" xr:uid="{4C12DF5B-C135-4FDC-8122-47E1D492A89A}">
      <text>
        <t>[Threaded comment]
Your version of Excel allows you to read this threaded comment; however, any edits to it will get removed if the file is opened in a newer version of Excel. Learn more: https://go.microsoft.com/fwlink/?linkid=870924
Comment:
    10% annual replacement rate</t>
      </text>
    </comment>
    <comment ref="F98" authorId="19" shapeId="0" xr:uid="{090A7A91-8323-47C9-A2B1-93CB13D7427C}">
      <text>
        <t>[Threaded comment]
Your version of Excel allows you to read this threaded comment; however, any edits to it will get removed if the file is opened in a newer version of Excel. Learn more: https://go.microsoft.com/fwlink/?linkid=870924
Comment:
    10% annual replacement rate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<sst xmlns="http://schemas.openxmlformats.org/spreadsheetml/2006/main" count="2613" uniqueCount="375">
  <si>
    <t>Expense Type</t>
  </si>
  <si>
    <t xml:space="preserve"> </t>
  </si>
  <si>
    <t xml:space="preserve">Labor </t>
  </si>
  <si>
    <t>Materials</t>
  </si>
  <si>
    <t>Communication</t>
  </si>
  <si>
    <t>Equipment</t>
  </si>
  <si>
    <t>Other direct costs</t>
  </si>
  <si>
    <t xml:space="preserve">Expense Type </t>
  </si>
  <si>
    <t>Notes</t>
  </si>
  <si>
    <t>n/a</t>
  </si>
  <si>
    <t>Teachers</t>
  </si>
  <si>
    <t>Year</t>
  </si>
  <si>
    <t>Inflation Rate (%)</t>
  </si>
  <si>
    <t>Inflation Rate (Decimal)</t>
  </si>
  <si>
    <t>Cumulative Inflation Factor</t>
  </si>
  <si>
    <t>Facilities</t>
  </si>
  <si>
    <t>Yes</t>
  </si>
  <si>
    <t>Incremental Cost?</t>
  </si>
  <si>
    <t>No</t>
  </si>
  <si>
    <t>Teacher</t>
  </si>
  <si>
    <t>Count</t>
  </si>
  <si>
    <t>Total Units</t>
  </si>
  <si>
    <t xml:space="preserve">MATERIALS </t>
  </si>
  <si>
    <t>Training Manual</t>
  </si>
  <si>
    <t>Description</t>
  </si>
  <si>
    <t>Dosage/Units</t>
  </si>
  <si>
    <t>Group: Example Teacher Guide</t>
  </si>
  <si>
    <t xml:space="preserve">Teacher: Training Manual </t>
  </si>
  <si>
    <t>National Trainer</t>
  </si>
  <si>
    <t>National Trainer: Training Manual</t>
  </si>
  <si>
    <t>Head Teacher/Dpt. Asst. Dir.</t>
  </si>
  <si>
    <t>Head Teacher/Dpt. Asst. Dir.: Training Manual</t>
  </si>
  <si>
    <t>USD</t>
  </si>
  <si>
    <t>TNT for day training per day</t>
  </si>
  <si>
    <t>Training facility rental/day</t>
  </si>
  <si>
    <t>Proportion of trainees at national/regional level with overnight travel</t>
  </si>
  <si>
    <t>Lunch, snack, water per person/per day</t>
  </si>
  <si>
    <t>OVERNIGHT TRAINING: ACCOMODATION, TRAVEL, MEALS, SNACKS</t>
  </si>
  <si>
    <t>Trainee per diem for meals and accomm.</t>
  </si>
  <si>
    <t>Facility</t>
  </si>
  <si>
    <t>Days of Training</t>
  </si>
  <si>
    <t>Transportation</t>
  </si>
  <si>
    <t xml:space="preserve">Total </t>
  </si>
  <si>
    <t>Total</t>
  </si>
  <si>
    <t>USD Cost (2025)</t>
  </si>
  <si>
    <t xml:space="preserve">exp type (increm) % </t>
  </si>
  <si>
    <t xml:space="preserve">Training </t>
  </si>
  <si>
    <t>ANALYSIS TABS</t>
  </si>
  <si>
    <t>REFERENCE TABS</t>
  </si>
  <si>
    <t>Overview</t>
  </si>
  <si>
    <t>Demographic Data</t>
  </si>
  <si>
    <t>Reference Sheet</t>
  </si>
  <si>
    <t>GENERAL TABS</t>
  </si>
  <si>
    <t>This sheet</t>
  </si>
  <si>
    <t>Prices_non_Labor</t>
  </si>
  <si>
    <t xml:space="preserve">  FL Master Training: per district cost (incremental)</t>
  </si>
  <si>
    <t xml:space="preserve">  FL Master Training: per school cost (incremental)</t>
  </si>
  <si>
    <t xml:space="preserve">  FL Master Training: Materials (incremental)</t>
  </si>
  <si>
    <t xml:space="preserve">  FL Master Training per teacher cost (incremental)</t>
  </si>
  <si>
    <t xml:space="preserve">  FL Master Training: Transportation (incremental)</t>
  </si>
  <si>
    <t xml:space="preserve">  FL Core Training per student cost (incremental)</t>
  </si>
  <si>
    <t xml:space="preserve">  FL Master Training: Facilities (incremental)</t>
  </si>
  <si>
    <t xml:space="preserve">  FL Core Training: total incremental cost</t>
  </si>
  <si>
    <t xml:space="preserve">  FL Core Training per school cost (incremental)</t>
  </si>
  <si>
    <t xml:space="preserve">  FL Core Training per teacher cost (incremental)</t>
  </si>
  <si>
    <t xml:space="preserve">  FL Core Training: Materials (incremental)</t>
  </si>
  <si>
    <t xml:space="preserve">  FL Core Training: Transportation (incremental)</t>
  </si>
  <si>
    <t xml:space="preserve">  FL Core Training: Facilities (incremental)</t>
  </si>
  <si>
    <t xml:space="preserve">  FL TLMs: per unit costs</t>
  </si>
  <si>
    <t xml:space="preserve">  FL Master Training: per unit costs</t>
  </si>
  <si>
    <t xml:space="preserve">  FL Master Training: by expense type (incremental)</t>
  </si>
  <si>
    <t xml:space="preserve">  FL Master Training: total incremental cost</t>
  </si>
  <si>
    <t>Student Textbook</t>
  </si>
  <si>
    <t xml:space="preserve">  FL Master Training: total costs</t>
  </si>
  <si>
    <t>Days of F2F Training</t>
  </si>
  <si>
    <t>TLMs: total incremental cost</t>
  </si>
  <si>
    <t xml:space="preserve">  YEAR 1/TERM 1: FL Core Training: per unit costs</t>
  </si>
  <si>
    <t xml:space="preserve">  YEAR 1/TERM 1: FL Core Training: by expense type (incremental)</t>
  </si>
  <si>
    <t>District Trainer</t>
  </si>
  <si>
    <t>Group: Example Student Textbooks</t>
  </si>
  <si>
    <t xml:space="preserve">  FL TLMs per school cost - T&amp;S</t>
  </si>
  <si>
    <t xml:space="preserve">  FL TLM per teacher cost (for all materials)</t>
  </si>
  <si>
    <t xml:space="preserve">  FL TLM per student cost (for all materials)</t>
  </si>
  <si>
    <t>District Trainer: Training Manual</t>
  </si>
  <si>
    <t>District Trainer (as Master Trainer for   Core)</t>
  </si>
  <si>
    <t>District/Circuit Officer</t>
  </si>
  <si>
    <t>District/Circuit Officer: Training Manual</t>
  </si>
  <si>
    <t>Student Lined Notebook</t>
  </si>
  <si>
    <t>Converted to USD</t>
  </si>
  <si>
    <t>DAY TRAINING: MEALS, TRAVEL</t>
  </si>
  <si>
    <t>TRAINING: FACILITY</t>
  </si>
  <si>
    <t>not used, offset by per diem</t>
  </si>
  <si>
    <t>CURRENCY ADJUSTMENT</t>
  </si>
  <si>
    <t>HISTORICAL INFLATION ADJUSTMENT</t>
  </si>
  <si>
    <t>Inflated to Year 2026 (YEAR 2)</t>
  </si>
  <si>
    <t>Inflated to Year 2025 (YEAR 1)</t>
  </si>
  <si>
    <t>Inflated to Year 2027 (YEAR 3)</t>
  </si>
  <si>
    <t>Inflated to Year 2028 (YEAR 4)</t>
  </si>
  <si>
    <t>FORWARD INFLATION ADJUSTMENT (materials, facilities)</t>
  </si>
  <si>
    <t>FORWARD COLA ADJUSTMENT (travel, per diem)</t>
  </si>
  <si>
    <t>COLA Rate (%)</t>
  </si>
  <si>
    <t>COLA Rate (Decimal)</t>
  </si>
  <si>
    <t>Adjusted to COLA 2026</t>
  </si>
  <si>
    <t>Adjusted to COLA 2027</t>
  </si>
  <si>
    <t>Adjusted to COLA 2028</t>
  </si>
  <si>
    <t>Total Cost  (USD)</t>
  </si>
  <si>
    <t>Districts</t>
  </si>
  <si>
    <t>Schools</t>
  </si>
  <si>
    <t>Student</t>
  </si>
  <si>
    <t>Meals/Per Diem</t>
  </si>
  <si>
    <t xml:space="preserve">  FL Master Training: Meals/Per Diem (incremental)</t>
  </si>
  <si>
    <t>% of Total</t>
  </si>
  <si>
    <t xml:space="preserve">TLMs </t>
  </si>
  <si>
    <t xml:space="preserve">Year 1 Implementation  </t>
  </si>
  <si>
    <t>Total Cost (USD)</t>
  </si>
  <si>
    <t>District/Circuit Officers</t>
  </si>
  <si>
    <t>District Trainer: Day 70%</t>
  </si>
  <si>
    <t>District Trainer: Overnight 30%</t>
  </si>
  <si>
    <t>District/Circuit Officer: Day 70%</t>
  </si>
  <si>
    <t>District/Circuit Officer: Overnight 30%</t>
  </si>
  <si>
    <t>Head Teacher/Dpt. Asst. Dir.: Day 70%</t>
  </si>
  <si>
    <t>Head Teacher/Dpt. Asst. Dir.: Overnight 30%</t>
  </si>
  <si>
    <t>Teacher: Day 70%</t>
  </si>
  <si>
    <t>Teacher: Overnight 30%</t>
  </si>
  <si>
    <t>Teacher : Day 70%</t>
  </si>
  <si>
    <t>Teacher : Overnight 30%</t>
  </si>
  <si>
    <t xml:space="preserve">  FL Core Training: Meals/Per Diem (incremental)</t>
  </si>
  <si>
    <t>Teacher Guide</t>
  </si>
  <si>
    <t>YEAR 1: TLMs</t>
  </si>
  <si>
    <t xml:space="preserve">List of expense types </t>
  </si>
  <si>
    <t>Unit prices used for analysis with inflation/COLA adjustments</t>
  </si>
  <si>
    <t>Marginal Incremental Cost Per Student</t>
  </si>
  <si>
    <t xml:space="preserve">Year 2 Implementation  </t>
  </si>
  <si>
    <t>YEAR 2: TLMs</t>
  </si>
  <si>
    <t>USD Cost (2026)</t>
  </si>
  <si>
    <t>YEAR 3 Implementation Totals ALL TLMs</t>
  </si>
  <si>
    <t xml:space="preserve">Year 3 Implementation  </t>
  </si>
  <si>
    <t>YEAR 3/TERM 1: 4 DAYS IN PERSON WITH EVERYONE</t>
  </si>
  <si>
    <t>YEAR 3/TERM 2&amp;3: 4 DAYS IN PERSON WITH TEACHERS ONLY</t>
  </si>
  <si>
    <t>YEAR 3: TLMs</t>
  </si>
  <si>
    <t xml:space="preserve"> YEAR 3 TLMs</t>
  </si>
  <si>
    <t>YEAR 3 TLMs</t>
  </si>
  <si>
    <t xml:space="preserve"> YEAR 3: TERM 2&amp;3: FL Core Training: total costs</t>
  </si>
  <si>
    <t xml:space="preserve"> YEAR 3/TERM: F 2&amp;3 Core Day Training:  communications, equipment costs not incurred and/or excluded from analysis. Term 2 and 3 training, only teachers</t>
  </si>
  <si>
    <t xml:space="preserve"> YEAR 3: TERM 1: FL Core Training: total costs</t>
  </si>
  <si>
    <t xml:space="preserve"> YEAR 3/TERM 1: FL Core Day Training:  communications, equipment costs not incurred and/or excluded from analysis. First training installment of 4 days, in person, all roles included.</t>
  </si>
  <si>
    <t>USD Cost (2027)</t>
  </si>
  <si>
    <t>YEAR 1</t>
  </si>
  <si>
    <t>YEAR 2</t>
  </si>
  <si>
    <t>YEAR 3</t>
  </si>
  <si>
    <t>YEAR 4</t>
  </si>
  <si>
    <t>Training</t>
  </si>
  <si>
    <t xml:space="preserve">% of total cost </t>
  </si>
  <si>
    <t>TOTAL</t>
  </si>
  <si>
    <t>Topic/Scope</t>
  </si>
  <si>
    <t>Half pedagogy, Half subject</t>
  </si>
  <si>
    <t>Practicum approach</t>
  </si>
  <si>
    <t>70-80% teacher practicum, 20% lecture with modeling</t>
  </si>
  <si>
    <t>Level 1 training: 1:5 ratio of Teacher Guide and student materials, 1:1 training manual
Level 2 training: 1:1 Training manual, 1:2 Teacher Guide, 1:5 Student materials</t>
  </si>
  <si>
    <t>Delivery modality</t>
  </si>
  <si>
    <t>Trainees per trainer</t>
  </si>
  <si>
    <t>Training location</t>
  </si>
  <si>
    <t>Participants</t>
  </si>
  <si>
    <t>Trainer qualifications</t>
  </si>
  <si>
    <t xml:space="preserve">Instructional Time </t>
  </si>
  <si>
    <t>Amount of hours per week</t>
  </si>
  <si>
    <t>3.75 - 5 hours</t>
  </si>
  <si>
    <t>Teaching Materials: Teachers' Guide</t>
  </si>
  <si>
    <t>Ratio per teacher</t>
  </si>
  <si>
    <t>1 Teachers' Guide per teacher</t>
  </si>
  <si>
    <t>Number of pages</t>
  </si>
  <si>
    <t>Content</t>
  </si>
  <si>
    <t>Color/B&amp;W</t>
  </si>
  <si>
    <t>Illustrations</t>
  </si>
  <si>
    <t>Binding</t>
  </si>
  <si>
    <t>spiral bound</t>
  </si>
  <si>
    <t>Loss Rate</t>
  </si>
  <si>
    <t>10% annually</t>
  </si>
  <si>
    <t>Replacement cycle</t>
  </si>
  <si>
    <t>Ratio per student</t>
  </si>
  <si>
    <t>1 textbook per student</t>
  </si>
  <si>
    <t xml:space="preserve">2 pages per lesson of activities aligned with the Teachers' Guide and leveled decodable stories for independent reading </t>
  </si>
  <si>
    <t xml:space="preserve">Color  </t>
  </si>
  <si>
    <t xml:space="preserve">termly </t>
  </si>
  <si>
    <t xml:space="preserve">Yes </t>
  </si>
  <si>
    <t xml:space="preserve">FL TLM per student cost (for just student materials) </t>
  </si>
  <si>
    <t>TLMs (all)</t>
  </si>
  <si>
    <t>TLMs (just student materials)</t>
  </si>
  <si>
    <t>USD Cost (2028)</t>
  </si>
  <si>
    <t>YEAR 2/TERM 1</t>
  </si>
  <si>
    <t>YEAR 2/TERM 2&amp;3:</t>
  </si>
  <si>
    <t xml:space="preserve">YEAR 1/TERM 1: </t>
  </si>
  <si>
    <t>YEAR 1/TERM 2&amp;3</t>
  </si>
  <si>
    <t>1 lined notebook per student per term</t>
  </si>
  <si>
    <t>glue with stiching</t>
  </si>
  <si>
    <t xml:space="preserve">Aligned with Teachers' Guide </t>
  </si>
  <si>
    <t xml:space="preserve">Student Materials: Textbook </t>
  </si>
  <si>
    <t>4 years</t>
  </si>
  <si>
    <t>District/Circuit Officer: Day 90%</t>
  </si>
  <si>
    <t>Head Teacher/Dpt. Asst. Dir.: Day 90%</t>
  </si>
  <si>
    <t>Teacher: Day 90%</t>
  </si>
  <si>
    <t>District Trainer: Day 90%</t>
  </si>
  <si>
    <t>Teacher : Day 90%</t>
  </si>
  <si>
    <t>District Trainer: Overnight 10%</t>
  </si>
  <si>
    <t>District/Circuit Officer: Overnight 10%</t>
  </si>
  <si>
    <t>Head Teacher/Dpt. Asst. Dir.: Overnight 10%</t>
  </si>
  <si>
    <t>Teacher: Overnight 10%</t>
  </si>
  <si>
    <t>Teacher : Overnight 10%</t>
  </si>
  <si>
    <t xml:space="preserve">Master Training at national/regional level: communications, equipment costs not incurred and/or excluded from analysis. All MT participation is centralized and requires overnight. </t>
  </si>
  <si>
    <t>Local Currency to USD Exchange Rate</t>
  </si>
  <si>
    <t>Literacy Teacher Guide Level 1-3</t>
  </si>
  <si>
    <t>MODEL DESCRIPTION</t>
  </si>
  <si>
    <t xml:space="preserve">Parents provide notebooks. For students whose parents cannot provide notebooks, local provision via district/school capitation grants, etc. 
</t>
  </si>
  <si>
    <t xml:space="preserve">plus 20% for spiral bound. </t>
  </si>
  <si>
    <t>Estimate</t>
  </si>
  <si>
    <t>Proportion of trainees at district level with overnight travel (decentralized)</t>
  </si>
  <si>
    <t xml:space="preserve">YEAR 1 </t>
  </si>
  <si>
    <t>Overnight</t>
  </si>
  <si>
    <t>Day</t>
  </si>
  <si>
    <t>Head Teacher/Dpt. Asst. Dir.:Overnight 10%</t>
  </si>
  <si>
    <t>Model Assumptions - Training: Year 1 of implementation</t>
  </si>
  <si>
    <t>Model Assumptions - Materials: Year 1 of implementation</t>
  </si>
  <si>
    <t xml:space="preserve">Days of Master Training </t>
  </si>
  <si>
    <t>Teacher: Teacher Guide ratio</t>
  </si>
  <si>
    <t>1 to 1</t>
  </si>
  <si>
    <t>Annual replacement rate for materials</t>
  </si>
  <si>
    <t xml:space="preserve">Replacement cycle for materials </t>
  </si>
  <si>
    <t>Student: Student Textbook</t>
  </si>
  <si>
    <t>* Student use lined black notebook (not costed), textbooks are not written in and they are reused.</t>
  </si>
  <si>
    <t xml:space="preserve">% of Level 1 training with overnight travel </t>
  </si>
  <si>
    <t>% of Level 2 training with overnight travel</t>
  </si>
  <si>
    <t>Days of Term 1 Training (year 1)</t>
  </si>
  <si>
    <t>Days of Term 2&amp;3 Training (year 1)</t>
  </si>
  <si>
    <t>Model Assumptions - Training: Year 2 of implementation</t>
  </si>
  <si>
    <t>Model Assumptions - Materials: Year 2 of implementation</t>
  </si>
  <si>
    <t>YEAR 2 Implementation;</t>
  </si>
  <si>
    <t>Total Year 1</t>
  </si>
  <si>
    <t>Days of Term 1 Training (year 2)</t>
  </si>
  <si>
    <t>Term 2&amp;3 Training (Year 2)</t>
  </si>
  <si>
    <t>YEAR 3 Implementation;</t>
  </si>
  <si>
    <t>Model Assumptions - Training: Year 3 of implementation</t>
  </si>
  <si>
    <t>Model Assumptions - Materials: Year 3 of implementation</t>
  </si>
  <si>
    <t>YEAR 4 Implementation;</t>
  </si>
  <si>
    <t>TERM 1</t>
  </si>
  <si>
    <t>TERM 2&amp;3:</t>
  </si>
  <si>
    <t>TLMs</t>
  </si>
  <si>
    <t>Final Model Description</t>
  </si>
  <si>
    <t>WITH BASELINE GOVT INVESTMENT @ 10% inflation</t>
  </si>
  <si>
    <t>Cost per student</t>
  </si>
  <si>
    <t>Median Government Expenditure (SSA)</t>
  </si>
  <si>
    <t>Foundational Literacy Model</t>
  </si>
  <si>
    <t>Cost analysis for instructional coaching component</t>
  </si>
  <si>
    <t>DSA/Meals</t>
  </si>
  <si>
    <t>INSTRUCTIONAL COACHING/SCHOOL MONITORING</t>
  </si>
  <si>
    <t>Observation sheet</t>
  </si>
  <si>
    <t>Instructional Coaching</t>
  </si>
  <si>
    <t xml:space="preserve">Teachers' Guide </t>
  </si>
  <si>
    <t>Frequency of visits/observatio</t>
  </si>
  <si>
    <t xml:space="preserve">Coaching </t>
  </si>
  <si>
    <t>Documentation of observation/coaching data</t>
  </si>
  <si>
    <t>Delivery</t>
  </si>
  <si>
    <t xml:space="preserve">Instructional Coaching Model: 3 visits per school per term, 1:10 coach to school ratio. </t>
  </si>
  <si>
    <t>Days of Level 1 training</t>
  </si>
  <si>
    <t xml:space="preserve">Days of Level 2 training </t>
  </si>
  <si>
    <t>Model Assumptions: Year 1 Delivery</t>
  </si>
  <si>
    <t>Model Assumptions -Y ear 1 Preparation</t>
  </si>
  <si>
    <t xml:space="preserve">YEAR 1: Level 1 </t>
  </si>
  <si>
    <t>District Trainer (as Master Trainer for Level 2)</t>
  </si>
  <si>
    <t xml:space="preserve">  Instructional Coaching Training: total incremental cost</t>
  </si>
  <si>
    <t>Instructional Coaching Training per school cost (incremental)</t>
  </si>
  <si>
    <t>Instructional Coaching Training per teacher cost (incremental)</t>
  </si>
  <si>
    <t>Instructional Coaching Training per student cost (incremental)</t>
  </si>
  <si>
    <t>Instr Coach Training: Materials (incremental)</t>
  </si>
  <si>
    <t>Instr Coach Training: Transportation (incremental)</t>
  </si>
  <si>
    <t>Instr Coach Training: Meals/Per Diem (incremental)</t>
  </si>
  <si>
    <t>Instr Coach Training: Facilities (incremental)</t>
  </si>
  <si>
    <t xml:space="preserve">  Instr Coach Master Training: total costs</t>
  </si>
  <si>
    <t>Master Training: per unit costs</t>
  </si>
  <si>
    <t>Coaching Master Training: per district cost (incremental)</t>
  </si>
  <si>
    <t>Coaching Master Training: per school cost (incremental)</t>
  </si>
  <si>
    <t>Coaching Master Training per teacher cost (incremental)</t>
  </si>
  <si>
    <t>CoachingTraining per student cost (incremental)</t>
  </si>
  <si>
    <t>Master Training: by expense type (incremental)</t>
  </si>
  <si>
    <t>Coaching Master Training: Materials (incremental)</t>
  </si>
  <si>
    <t>Coaching Master Training: Transportation (incremental)</t>
  </si>
  <si>
    <t>Coaching Master Training: Meals/Per Diem (incremental)</t>
  </si>
  <si>
    <t>Coaching Master Training: Facilities (incremental)</t>
  </si>
  <si>
    <t>YEAR 1: Level 2</t>
  </si>
  <si>
    <r>
      <t>Instructional Coaching Delivery</t>
    </r>
    <r>
      <rPr>
        <sz val="11"/>
        <color theme="1"/>
        <rFont val="Aptos Narrow"/>
        <family val="2"/>
        <scheme val="minor"/>
      </rPr>
      <t>: (tablet recommended but not included in the cost model)</t>
    </r>
  </si>
  <si>
    <t xml:space="preserve">National Trainer: Training, Observation Manual </t>
  </si>
  <si>
    <t>District Trainer: Training, Observation Manual</t>
  </si>
  <si>
    <t>Coach Master Training: total incremental cost</t>
  </si>
  <si>
    <t xml:space="preserve">District Trainer: Training, Observation Manual </t>
  </si>
  <si>
    <t>District/Circuit Officer: Training, Observation Manual</t>
  </si>
  <si>
    <t>Instr Coaching: Materials (incremental)</t>
  </si>
  <si>
    <t>Instr Coaching: Transportation (incremental)</t>
  </si>
  <si>
    <t>Instr Coaching: DSA/Meals (incremental)</t>
  </si>
  <si>
    <t>Instructional Coaching: total incremental cost</t>
  </si>
  <si>
    <t>Instr Coaching per teacher cost (incremental)</t>
  </si>
  <si>
    <t>Instr Coaching per school cost (incremental)</t>
  </si>
  <si>
    <t>Instr Coaching per student cost (incremental)</t>
  </si>
  <si>
    <t>Observations/Coaching per school/per year</t>
  </si>
  <si>
    <t>MODEL : Year 1 Training (3 days MT, 7 days TT)</t>
  </si>
  <si>
    <t>Model with Yea 2 training (3 days MT, 4 days TT)</t>
  </si>
  <si>
    <t>MODEL Year 3 with 2 days MT, 3 days Core TT</t>
  </si>
  <si>
    <t xml:space="preserve">Instructional Coaching Component- Year 1 </t>
  </si>
  <si>
    <t>MODEL Year 4 with 2 days MT, 3 days Core TT</t>
  </si>
  <si>
    <t>Insructional Coaching</t>
  </si>
  <si>
    <t xml:space="preserve">YEAR 2: Level 1 </t>
  </si>
  <si>
    <t>YEAR 2: Level 2</t>
  </si>
  <si>
    <t xml:space="preserve">YEAR 3: Level 1 </t>
  </si>
  <si>
    <t>YEAR 3: Level 2</t>
  </si>
  <si>
    <t xml:space="preserve">YEAR 4: Level 1 </t>
  </si>
  <si>
    <t>YEAR 4: Level 2</t>
  </si>
  <si>
    <t xml:space="preserve">Instructional Coaching </t>
  </si>
  <si>
    <t>Annual replacement rate for materials (Year 4)</t>
  </si>
  <si>
    <t>4 YEAR TOTAL</t>
  </si>
  <si>
    <t>PER CLIO GRAPH ONLY YEAR 1</t>
  </si>
  <si>
    <t>Cost by Expense Type</t>
  </si>
  <si>
    <t>Year 1</t>
  </si>
  <si>
    <t>fuel per school</t>
  </si>
  <si>
    <t>school monitoring visit (lunch/snack)</t>
  </si>
  <si>
    <t>One time travel for overnight training</t>
  </si>
  <si>
    <t>Cost per Student</t>
  </si>
  <si>
    <t xml:space="preserve">FULL PROGRAM BY EXPENSE TYPE </t>
  </si>
  <si>
    <t xml:space="preserve">BY EXPENSE TYPE FULL PROGRAM </t>
  </si>
  <si>
    <t xml:space="preserve">Materials </t>
  </si>
  <si>
    <t xml:space="preserve">Materials % of total program cost </t>
  </si>
  <si>
    <t xml:space="preserve">Meals/Per Diem % of total program cost </t>
  </si>
  <si>
    <t xml:space="preserve">Transportation % of total program cost </t>
  </si>
  <si>
    <t xml:space="preserve">Facilities % of total program cost </t>
  </si>
  <si>
    <t>Lined Notebook (not costed)</t>
  </si>
  <si>
    <t>In-service professional development</t>
  </si>
  <si>
    <t>Level 1: Frequency/cadence</t>
  </si>
  <si>
    <t>Level 2: Frequency/cadence</t>
  </si>
  <si>
    <t>Year 1 (7 days), Year 2 (4 days), Year 3 (3 days), Year 4 (3 days)</t>
  </si>
  <si>
    <t>Year 1 (3 days), Year 2 (3 days), Year 3 (2 days), Year 4 (2 days)</t>
  </si>
  <si>
    <t>Face to face in all years for all sessions for both level 1 and level 2.</t>
  </si>
  <si>
    <t xml:space="preserve">Level 1 -  1 trainer: 20 trainees
Level 2 -  1 trainer: 15 trainees, with trainings conducted in groups of 30 with 2 trainers </t>
  </si>
  <si>
    <t>Level 1 -  conducted at national or regional location for all level 2 trainers
Level 2 - conducted at decentralized administrative unit (such as district or cluster).</t>
  </si>
  <si>
    <t>Level 1 - all level 2 trainers
Level 2 - Grade 1-3 teachers + school leadership + middle tier support staff in term 1 training each year. Subsequent trainings in terms 2 and 3 each year include only teachers.</t>
  </si>
  <si>
    <t>Foundational literacy concepts,  Teachers' Guide contents and objectives, foundational phase teaching experience and adult phase learning expertise.</t>
  </si>
  <si>
    <t>Foundational literacy should have at least five full class hours (45-60 minutes) per week in the time table/planned. For Grade 1, if possible, classes should be split into smaller increments while maintaining the total instructional time. Classes should be scheduled (e.g., not the first session of the day or directly after lunch) to minimize lost instructional time due to tardiness and absence.</t>
  </si>
  <si>
    <t>2 pages per lesson scripts/activities plus additional texts for read-alouds and other teaching activities.</t>
  </si>
  <si>
    <t>Color if the cost is not higher or minimally higher than black and white. Color used for easy reference and key information.</t>
  </si>
  <si>
    <t>Illustrations are used to support navigation, predictable organization and easy reference at a glance for the teacher during lessons. The space for illustrations is minimized.</t>
  </si>
  <si>
    <t xml:space="preserve">Each student has a textbook that contains two pages per lesson that follow the language and skills scopes and sequences in the Teacher’s Guide. Textbooks are provided on a 1:1 basis.. Students do not write in textbooks. They complete activities and practice writing in lined notebooks(provided by parents or [provided/funded at a decentralized level).
Grade 1 textbooks include illustrations for motivating young readers and in later grades illustrations included are when needed to support specific skills.  For all grades, text is prioritized over illustrations.
</t>
  </si>
  <si>
    <t xml:space="preserve">Text is prioritized over illustrations across grades. More illustrations in Grade 1, with only targeted use of illustrations for Grades 2 and 3. </t>
  </si>
  <si>
    <t>In-service professional development for coaching</t>
  </si>
  <si>
    <t>Two-level model repeated annually. Level 1 (2 days/year), Level 2 (3 days/year)</t>
  </si>
  <si>
    <t>3 times per term per school with focus on foundational literacy for observations. Not all teachers are observed and coached in each school visit given time constraints.</t>
  </si>
  <si>
    <t xml:space="preserve">Coach meets with the teacher after each observation and the teacher leads the coaching session with a self-reflection and questions. The coach has a guide/checklist to prioritize and support the coaching discussion. </t>
  </si>
  <si>
    <t>Tablet is recommended, but not included in cost model. Ideally observation and coaching data are uploaded into EMIS or other data system.</t>
  </si>
  <si>
    <t>The in-service profressional development in the model is a two-level cascade that ensures optimal teacher:trainer ratios at decentralized training locations. Level 1 training is delivered by national trainers to a cadre of Level 2 trainers. Level 2 training occurs at decentralized locations. In-service professional development takes a gradual release approach with higher intensity training in the first year of implemention, with gradual decreases over time.  All training is delivered in person. Training content is half pedagogy and half subject-matter with the great majority of time spent with teachers practicing using the Teacher's Guide and student materials for reference. For Level 2 training, school leadership and middle tier leadership attend only the first training each year. Teachers attend all of the Level 2 training each year.</t>
  </si>
  <si>
    <t xml:space="preserve">Every teacher has a Teachers' Guide that covers the full academic year, follows an approved scope and sequence and pacing of content across the year.  The guide includes lessons that are both structured and, for some skills and routines, are scripted.  Within each lesson, scripts are provided depending on skill and routines taught and used in each lesson.  Across lessons, the Guide is structured to maintain pacing and consistency of content and routines with gradual release that reduces scripting as activities and routines are repeated.  Gradual release of scripting is balanced with suggested activities that teachers can use with whole class, small groups or by ability levels. The Guide describes the desired student skills associated with each activity and suggested follow-up activities based on the skills observed. 
The Guide is spiral-bound and designed for easy navigation. It includes thumbnails of the corresponding student textbook pages and uses color (or symbols) for organization and locating key information at a glance.  Minimum font size is 12.
The Guide has 2 pages per lesson of scripts/suggested activities plus connected text for read aloud and teacher-directed activities.  </t>
  </si>
  <si>
    <t>There is a 2-cascade professional development model to equip coaches. Instructional coaching in the model uses existing middle tier staff to conduct lesson observations and provide coaching to teachers.The cost model includes travel and meals to support three visits per school per team, but does not include additional staff to deliver coaching. Many systems will require additional staff position to deliver on this instructional coaching model and should include additional staff positions in their cost modeling.</t>
  </si>
  <si>
    <t>Meals/per diem</t>
  </si>
  <si>
    <t>Linked with student textbook. Includes variety of text for read-aloud and teacher-directed activities. Minimum font size of 12.</t>
  </si>
  <si>
    <t>A brief overview of the model and associated ingredients with metadata tables for some program components.</t>
  </si>
  <si>
    <t>Multi-year Summary</t>
  </si>
  <si>
    <t>Model_Yr1</t>
  </si>
  <si>
    <t>Model_Yr2</t>
  </si>
  <si>
    <t>Model_Yr3</t>
  </si>
  <si>
    <t>Model_Yr4</t>
  </si>
  <si>
    <t xml:space="preserve">This tab provides examples about how to modify the parameters of the cost model. It is possible to update the cost modeling by editing certain parameters used for ingredients, unit prices and adjustments. </t>
  </si>
  <si>
    <t xml:space="preserve">To change the ingredients/design for the training, for example, you can make edits to key assumptions. See example to the right to change the % of day and the % of overnight trainees. </t>
  </si>
  <si>
    <t xml:space="preserve">Use the "Prices_non-Labor" tab to change the unit prices used in the model. These changes will automatically update the pricese used on ALL cost modeling tabs. Do not change unit prices on any of the other tabs.  For example, if you want to change the per diem rates, you would do that on this sheet. </t>
  </si>
  <si>
    <t>How to Make Adjustments</t>
  </si>
  <si>
    <t>This tab provides instructions about how to change ingredients, unit prices and inflation rates.</t>
  </si>
  <si>
    <t>District, school, teacher and student demographic data used in the model</t>
  </si>
  <si>
    <t xml:space="preserve">This Excel workbook was developed to conduct cost modeling on a proposed Structured Pedagogy model set in an illustrative context. The model and cost estimates are derived from historical data  and estimates of optimised prices/costs based on best practice strategies (eg optimising procurements and training delivery).   These cost estimates should be interpreted as ‘what is possible’ in terms of the cost for governments to deliver an effective foundational literacy model in many Sub-Saharan African countries. The analyses and templates were simplifed for this exercise. </t>
  </si>
  <si>
    <t xml:space="preserve">Our cost estimates focus only on the incremental cost to government for the ingredients directly relevant to the delivery of the foundational literacy model – specifically, in-service professional development, teaching and learning materials, and instructional coaching. The cost model does not capture non-incremental costs borne by governments (eg salaries, operating the EMIS system, overhead, existing facilities). The model does not include in-kind contributions such as volunteer labour.
In terms of price adjustments, materials and facilities prices were adjusted from the original year of the unit price (as relevant for historical data) to the year of projected expense using a standardised 10% annual inflation rate (compounded over years). The published projected average annual inflation rate for sub-Saharan Africa varies, with a prominent report estimating a 14.4% inflation rate.  For the purposes of this analysis, we use a rate (10%) closer to the median projected inflation rate for contexts similar to the illustrative reference context and to moderate the influence of outliers. For transportation and meal per diems, rates are adjusted using a 3% cost of living adjustment-type increase annually.  </t>
  </si>
  <si>
    <t>IMPORTANT NOTES:</t>
  </si>
  <si>
    <t xml:space="preserve">All original prices (as relevant for historical prices) were converted to USD using the exchange rate for the final month of the year of the original price and then inflationary factors were applied to the USD cost estimates for projections. While the unit prices and unit price estimates reference different sources, the prices have not been adjusted (using PPP or similar methods) in the cost model. The costing model does not include a discount rate. The data and graphs in this brief reflect the marginal incremental cost per student, which includes all costs of the programme – not just the ingredients delivered to students. </t>
  </si>
  <si>
    <t xml:space="preserve">This Excel workbook was developed to conduct cost modeling on a proposed Structured Pedagogy model set in an illustrative context. This Excel workbook and associated analyses were developed by Christine Beggs (Alternatives in Development) with review support from Hetal Thukral. The study was funded by the Gates Foundation. All inquiries regarding this Excel workbook should be directed to Christine.Beggs@altindev.org. Any use of or reference to this workbook should cite "Beggs, C., Thukral, H. &amp; Dintilhac, C. 2025. Improving foundational literacy outcomes: a brief on the components and cost of a ‘just enough’ model for government-led programming. What Works Hub for Global Education. Compendium. 2025/002. https://doi.org/10.35489/BSG-WhatWorksHubforGlobalEducation-RP_2025/002".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</si>
</sst>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_);_(* \(#,##0\);_(* &quot;-&quot;??_);_(@_)"/>
    <numFmt numFmtId="165" formatCode="0.0"/>
    <numFmt numFmtId="166" formatCode="0.0%"/>
    <numFmt numFmtId="167" formatCode="_(* #,##0.0_);_(* \(#,##0.0\);_(* &quot;-&quot;??_);_(@_)"/>
    <numFmt numFmtId="168" formatCode="_(* #,##0.000_);_(* \(#,##0.000\);_(* &quot;-&quot;??_);_(@_)"/>
    <numFmt numFmtId="169" formatCode="_(* #,##0.0000_);_(* \(#,##0.0000\);_(* &quot;-&quot;??_);_(@_)"/>
  </numFmts>
  <fonts count="26" x14ac:knownFonts="1">
    <font>
      <sz val="11"/>
      <color theme="1"/>
      <name val="Aptos Narrow"/>
      <family val="2"/>
      <scheme val="minor"/>
    </font>
    <font>
      <b/>
      <sz val="11"/>
      <color theme="1"/>
      <name val="Aptos Narrow"/>
      <family val="2"/>
      <scheme val="minor"/>
    </font>
    <font>
      <sz val="10"/>
      <color theme="1"/>
      <name val="Aptos"/>
      <family val="2"/>
    </font>
    <font>
      <b/>
      <sz val="10"/>
      <color theme="1"/>
      <name val="Aptos"/>
      <family val="2"/>
    </font>
    <font>
      <sz val="11"/>
      <color theme="1"/>
      <name val="Aptos"/>
      <family val="2"/>
    </font>
    <font>
      <b/>
      <sz val="11"/>
      <color theme="1"/>
      <name val="Aptos"/>
      <family val="2"/>
    </font>
    <font>
      <sz val="11"/>
      <color theme="1"/>
      <name val="Aptos Narrow"/>
      <family val="2"/>
      <scheme val="minor"/>
    </font>
    <font>
      <sz val="11"/>
      <color theme="1"/>
      <name val="Calibri"/>
      <family val="2"/>
    </font>
    <font>
      <u/>
      <sz val="11"/>
      <color theme="10"/>
      <name val="Aptos Narrow"/>
      <family val="2"/>
      <scheme val="minor"/>
    </font>
    <font>
      <b/>
      <sz val="10"/>
      <color rgb="FF000000"/>
      <name val="Aptos"/>
      <family val="2"/>
    </font>
    <font>
      <sz val="10"/>
      <color rgb="FF000000"/>
      <name val="Aptos"/>
      <family val="2"/>
    </font>
    <font>
      <sz val="14"/>
      <color rgb="FF0F4761"/>
      <name val="Aptos"/>
      <family val="2"/>
    </font>
    <font>
      <b/>
      <i/>
      <sz val="9"/>
      <color rgb="FF0E2841"/>
      <name val="Aptos"/>
      <family val="2"/>
    </font>
    <font>
      <b/>
      <sz val="11"/>
      <color theme="9"/>
      <name val="Aptos Narrow"/>
      <family val="2"/>
      <scheme val="minor"/>
    </font>
    <font>
      <b/>
      <sz val="12"/>
      <color theme="1"/>
      <name val="Aptos Narrow"/>
      <family val="2"/>
      <scheme val="minor"/>
    </font>
    <font>
      <b/>
      <sz val="10"/>
      <color theme="1"/>
      <name val="Aptos Narrow"/>
      <family val="2"/>
      <scheme val="minor"/>
    </font>
    <font>
      <b/>
      <sz val="11"/>
      <color theme="2" tint="-0.499984740745262"/>
      <name val="Aptos Narrow"/>
      <family val="2"/>
      <scheme val="minor"/>
    </font>
    <font>
      <sz val="11"/>
      <color theme="2" tint="-0.499984740745262"/>
      <name val="Aptos Narrow"/>
      <family val="2"/>
      <scheme val="minor"/>
    </font>
    <font>
      <b/>
      <sz val="11"/>
      <color theme="5"/>
      <name val="Aptos Narrow"/>
      <family val="2"/>
      <scheme val="minor"/>
    </font>
    <font>
      <b/>
      <i/>
      <sz val="12"/>
      <color theme="5"/>
      <name val="Aptos Narrow"/>
      <family val="2"/>
      <scheme val="minor"/>
    </font>
    <font>
      <sz val="11"/>
      <color theme="1"/>
      <name val="Aptos"/>
      <family val="2"/>
    </font>
    <font>
      <b/>
      <sz val="11"/>
      <color theme="1" tint="0.499984740745262"/>
      <name val="Aptos Narrow"/>
      <family val="2"/>
      <scheme val="minor"/>
    </font>
    <font>
      <b/>
      <sz val="11"/>
      <color theme="0"/>
      <name val="Aptos Narrow"/>
      <family val="2"/>
      <scheme val="minor"/>
    </font>
    <font>
      <b/>
      <sz val="12"/>
      <color theme="0"/>
      <name val="Aptos Narrow"/>
      <family val="2"/>
      <scheme val="minor"/>
    </font>
    <font>
      <b/>
      <sz val="11"/>
      <name val="Aptos Narrow"/>
      <family val="2"/>
      <scheme val="minor"/>
    </font>
    <font>
      <sz val="11"/>
      <name val="Aptos Narrow"/>
      <family val="2"/>
      <scheme val="minor"/>
    </font>
  </fonts>
  <fills count="19">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3" tint="0.89999084444715716"/>
        <bgColor indexed="64"/>
      </patternFill>
    </fill>
    <fill>
      <patternFill patternType="solid">
        <fgColor theme="2" tint="-9.9978637043366805E-2"/>
        <bgColor indexed="64"/>
      </patternFill>
    </fill>
    <fill>
      <patternFill patternType="solid">
        <fgColor rgb="FFEBEBFF"/>
        <bgColor indexed="64"/>
      </patternFill>
    </fill>
    <fill>
      <patternFill patternType="solid">
        <fgColor rgb="FF99ABF9"/>
        <bgColor indexed="64"/>
      </patternFill>
    </fill>
    <fill>
      <patternFill patternType="solid">
        <fgColor rgb="FFFFFF00"/>
        <bgColor indexed="64"/>
      </patternFill>
    </fill>
    <fill>
      <patternFill patternType="solid">
        <fgColor theme="8" tint="0.59999389629810485"/>
        <bgColor indexed="64"/>
      </patternFill>
    </fill>
    <fill>
      <patternFill patternType="solid">
        <fgColor theme="3" tint="0.749992370372631"/>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2D2E4"/>
        <bgColor indexed="64"/>
      </patternFill>
    </fill>
    <fill>
      <patternFill patternType="solid">
        <fgColor rgb="FFBC3783"/>
        <bgColor indexed="64"/>
      </patternFill>
    </fill>
  </fills>
  <borders count="36">
    <border>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auto="1"/>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indexed="64"/>
      </right>
      <top/>
      <bottom/>
      <diagonal/>
    </border>
    <border>
      <left style="thin">
        <color indexed="64"/>
      </left>
      <right/>
      <top/>
      <bottom/>
      <diagonal/>
    </border>
    <border>
      <left/>
      <right/>
      <top style="thin">
        <color indexed="64"/>
      </top>
      <bottom/>
      <diagonal/>
    </border>
    <border>
      <left/>
      <right/>
      <top style="hair">
        <color indexed="64"/>
      </top>
      <bottom/>
      <diagonal/>
    </border>
    <border>
      <left style="hair">
        <color indexed="64"/>
      </left>
      <right/>
      <top/>
      <bottom/>
      <diagonal/>
    </border>
    <border>
      <left style="thin">
        <color indexed="64"/>
      </left>
      <right/>
      <top style="hair">
        <color indexed="64"/>
      </top>
      <bottom style="hair">
        <color indexed="64"/>
      </bottom>
      <diagonal/>
    </border>
    <border>
      <left/>
      <right/>
      <top style="thin">
        <color rgb="FF000000"/>
      </top>
      <bottom style="thin">
        <color indexed="64"/>
      </bottom>
      <diagonal/>
    </border>
    <border>
      <left style="thin">
        <color rgb="FF000000"/>
      </left>
      <right style="thin">
        <color rgb="FF000000"/>
      </right>
      <top/>
      <bottom style="thin">
        <color rgb="FF000000"/>
      </bottom>
      <diagonal/>
    </border>
  </borders>
  <cellStyleXfs count="4">
    <xf numFmtId="0" fontId="0" fillId="0" borderId="0"/>
    <xf numFmtId="43" fontId="6" fillId="0" borderId="0" applyFont="0" applyFill="0" applyBorder="0" applyAlignment="0" applyProtection="0"/>
    <xf numFmtId="9" fontId="6" fillId="0" borderId="0" applyFont="0" applyFill="0" applyBorder="0" applyAlignment="0" applyProtection="0"/>
    <xf numFmtId="0" fontId="8" fillId="0" borderId="0" applyNumberFormat="0" applyFill="0" applyBorder="0" applyAlignment="0" applyProtection="0"/>
  </cellStyleXfs>
  <cellXfs count="487">
    <xf numFmtId="0" fontId="0" fillId="0" borderId="0" xfId="0"/>
    <xf numFmtId="0" fontId="1" fillId="0" borderId="0" xfId="0" applyFont="1"/>
    <xf numFmtId="0" fontId="2" fillId="0" borderId="0" xfId="0" applyFont="1"/>
    <xf numFmtId="0" fontId="2" fillId="0" borderId="0" xfId="0" applyFont="1" applyAlignment="1">
      <alignment vertical="center" wrapText="1"/>
    </xf>
    <xf numFmtId="0" fontId="1" fillId="0" borderId="0" xfId="0" applyFont="1" applyAlignment="1">
      <alignment wrapText="1"/>
    </xf>
    <xf numFmtId="0" fontId="0" fillId="0" borderId="0" xfId="0" applyAlignment="1">
      <alignment wrapText="1"/>
    </xf>
    <xf numFmtId="0" fontId="3" fillId="0" borderId="0" xfId="0" applyFont="1" applyAlignment="1">
      <alignment vertical="center" wrapText="1"/>
    </xf>
    <xf numFmtId="0" fontId="0" fillId="2" borderId="0" xfId="0" applyFill="1"/>
    <xf numFmtId="0" fontId="0" fillId="3" borderId="0" xfId="0" applyFill="1"/>
    <xf numFmtId="0" fontId="0" fillId="0" borderId="3" xfId="0" applyBorder="1"/>
    <xf numFmtId="0" fontId="1" fillId="0" borderId="3" xfId="0" applyFont="1" applyBorder="1"/>
    <xf numFmtId="0" fontId="4" fillId="0" borderId="0" xfId="0" applyFont="1"/>
    <xf numFmtId="0" fontId="5" fillId="0" borderId="5" xfId="0" applyFont="1" applyBorder="1" applyAlignment="1">
      <alignment horizontal="center"/>
    </xf>
    <xf numFmtId="0" fontId="5" fillId="0" borderId="3" xfId="0" applyFont="1" applyBorder="1"/>
    <xf numFmtId="0" fontId="5" fillId="0" borderId="6" xfId="0" applyFont="1" applyBorder="1"/>
    <xf numFmtId="164" fontId="4" fillId="0" borderId="3" xfId="1" applyNumberFormat="1" applyFont="1" applyBorder="1"/>
    <xf numFmtId="0" fontId="5" fillId="0" borderId="3" xfId="0" applyFont="1" applyBorder="1" applyAlignment="1">
      <alignment horizontal="center" wrapText="1"/>
    </xf>
    <xf numFmtId="0" fontId="4" fillId="0" borderId="0" xfId="0" applyFont="1" applyAlignment="1">
      <alignment horizontal="center" wrapText="1"/>
    </xf>
    <xf numFmtId="0" fontId="5" fillId="4" borderId="3" xfId="0" applyFont="1" applyFill="1" applyBorder="1" applyAlignment="1">
      <alignment horizontal="center" wrapText="1"/>
    </xf>
    <xf numFmtId="164" fontId="4" fillId="4" borderId="3" xfId="1" applyNumberFormat="1" applyFont="1" applyFill="1" applyBorder="1"/>
    <xf numFmtId="164" fontId="4" fillId="4" borderId="7" xfId="1" applyNumberFormat="1" applyFont="1" applyFill="1" applyBorder="1"/>
    <xf numFmtId="0" fontId="0" fillId="5" borderId="0" xfId="0" applyFill="1"/>
    <xf numFmtId="0" fontId="5" fillId="5" borderId="5" xfId="0" applyFont="1" applyFill="1" applyBorder="1" applyAlignment="1">
      <alignment horizontal="center"/>
    </xf>
    <xf numFmtId="0" fontId="5" fillId="0" borderId="8" xfId="0" applyFont="1" applyBorder="1"/>
    <xf numFmtId="0" fontId="5" fillId="0" borderId="7" xfId="0" applyFont="1" applyBorder="1"/>
    <xf numFmtId="164" fontId="4" fillId="0" borderId="7" xfId="1" applyNumberFormat="1" applyFont="1" applyBorder="1"/>
    <xf numFmtId="0" fontId="4" fillId="0" borderId="3" xfId="0" applyFont="1" applyBorder="1"/>
    <xf numFmtId="0" fontId="5" fillId="0" borderId="12" xfId="0" applyFont="1" applyBorder="1" applyAlignment="1">
      <alignment horizontal="center" wrapText="1"/>
    </xf>
    <xf numFmtId="164" fontId="4" fillId="0" borderId="12" xfId="1" applyNumberFormat="1" applyFont="1" applyBorder="1"/>
    <xf numFmtId="164" fontId="4" fillId="0" borderId="13" xfId="1" applyNumberFormat="1" applyFont="1" applyBorder="1"/>
    <xf numFmtId="0" fontId="4" fillId="0" borderId="14" xfId="0" applyFont="1" applyBorder="1"/>
    <xf numFmtId="0" fontId="4" fillId="0" borderId="7" xfId="0" applyFont="1" applyBorder="1"/>
    <xf numFmtId="0" fontId="4" fillId="0" borderId="2" xfId="0" applyFont="1" applyBorder="1"/>
    <xf numFmtId="164" fontId="4" fillId="4" borderId="15" xfId="1" applyNumberFormat="1" applyFont="1" applyFill="1" applyBorder="1"/>
    <xf numFmtId="0" fontId="5" fillId="0" borderId="1" xfId="0" applyFont="1" applyBorder="1" applyAlignment="1">
      <alignment horizontal="center" wrapText="1"/>
    </xf>
    <xf numFmtId="164" fontId="4" fillId="0" borderId="7" xfId="0" applyNumberFormat="1" applyFont="1" applyBorder="1"/>
    <xf numFmtId="164" fontId="4" fillId="4" borderId="7" xfId="0" applyNumberFormat="1" applyFont="1" applyFill="1" applyBorder="1"/>
    <xf numFmtId="164" fontId="4" fillId="0" borderId="13" xfId="0" applyNumberFormat="1" applyFont="1" applyBorder="1"/>
    <xf numFmtId="164" fontId="4" fillId="4" borderId="16" xfId="1" applyNumberFormat="1" applyFont="1" applyFill="1" applyBorder="1"/>
    <xf numFmtId="0" fontId="4" fillId="3" borderId="3" xfId="0" applyFont="1" applyFill="1" applyBorder="1"/>
    <xf numFmtId="0" fontId="5" fillId="3" borderId="3" xfId="0" applyFont="1" applyFill="1" applyBorder="1"/>
    <xf numFmtId="2" fontId="0" fillId="0" borderId="0" xfId="0" applyNumberFormat="1"/>
    <xf numFmtId="165" fontId="1" fillId="0" borderId="0" xfId="0" applyNumberFormat="1" applyFont="1"/>
    <xf numFmtId="2" fontId="0" fillId="0" borderId="3" xfId="0" applyNumberFormat="1" applyBorder="1"/>
    <xf numFmtId="164" fontId="4" fillId="3" borderId="3" xfId="1" applyNumberFormat="1" applyFont="1" applyFill="1" applyBorder="1" applyAlignment="1">
      <alignment horizontal="left"/>
    </xf>
    <xf numFmtId="164" fontId="0" fillId="0" borderId="3" xfId="0" applyNumberFormat="1" applyBorder="1"/>
    <xf numFmtId="0" fontId="1" fillId="6" borderId="3" xfId="0" applyFont="1" applyFill="1" applyBorder="1"/>
    <xf numFmtId="0" fontId="1" fillId="6" borderId="3" xfId="0" applyFont="1" applyFill="1" applyBorder="1" applyAlignment="1">
      <alignment wrapText="1"/>
    </xf>
    <xf numFmtId="0" fontId="0" fillId="3" borderId="0" xfId="0" applyFill="1" applyAlignment="1">
      <alignment wrapText="1"/>
    </xf>
    <xf numFmtId="0" fontId="1" fillId="3" borderId="0" xfId="0" applyFont="1" applyFill="1"/>
    <xf numFmtId="0" fontId="0" fillId="3" borderId="3" xfId="0" applyFill="1" applyBorder="1" applyAlignment="1">
      <alignment horizontal="left"/>
    </xf>
    <xf numFmtId="164" fontId="0" fillId="0" borderId="3" xfId="1" applyNumberFormat="1" applyFont="1" applyBorder="1"/>
    <xf numFmtId="1" fontId="0" fillId="0" borderId="3" xfId="0" applyNumberFormat="1" applyBorder="1"/>
    <xf numFmtId="167" fontId="0" fillId="0" borderId="3" xfId="1" applyNumberFormat="1" applyFont="1" applyBorder="1"/>
    <xf numFmtId="2" fontId="1" fillId="0" borderId="0" xfId="0" applyNumberFormat="1" applyFont="1"/>
    <xf numFmtId="0" fontId="1" fillId="3" borderId="0" xfId="0" applyFont="1" applyFill="1" applyAlignment="1">
      <alignment horizontal="center"/>
    </xf>
    <xf numFmtId="0" fontId="1" fillId="3" borderId="0" xfId="0" applyFont="1" applyFill="1" applyAlignment="1">
      <alignment horizontal="center" wrapText="1"/>
    </xf>
    <xf numFmtId="0" fontId="0" fillId="3" borderId="3" xfId="0" applyFill="1" applyBorder="1" applyAlignment="1">
      <alignment horizontal="right"/>
    </xf>
    <xf numFmtId="0" fontId="0" fillId="3" borderId="3" xfId="0" applyFill="1" applyBorder="1" applyAlignment="1">
      <alignment horizontal="right" wrapText="1"/>
    </xf>
    <xf numFmtId="0" fontId="0" fillId="3" borderId="3" xfId="0" applyFill="1" applyBorder="1"/>
    <xf numFmtId="2" fontId="0" fillId="3" borderId="3" xfId="0" applyNumberFormat="1" applyFill="1" applyBorder="1"/>
    <xf numFmtId="0" fontId="0" fillId="0" borderId="3" xfId="0" applyBorder="1" applyAlignment="1">
      <alignment horizontal="right"/>
    </xf>
    <xf numFmtId="0" fontId="0" fillId="3" borderId="3" xfId="0" applyFill="1" applyBorder="1" applyAlignment="1">
      <alignment wrapText="1"/>
    </xf>
    <xf numFmtId="0" fontId="0" fillId="0" borderId="3" xfId="0" applyBorder="1" applyAlignment="1">
      <alignment horizontal="left"/>
    </xf>
    <xf numFmtId="0" fontId="0" fillId="0" borderId="0" xfId="0" applyAlignment="1">
      <alignment horizontal="right"/>
    </xf>
    <xf numFmtId="164" fontId="0" fillId="3" borderId="3" xfId="1" applyNumberFormat="1" applyFont="1" applyFill="1" applyBorder="1"/>
    <xf numFmtId="1" fontId="0" fillId="3" borderId="0" xfId="0" quotePrefix="1" applyNumberFormat="1" applyFill="1"/>
    <xf numFmtId="164" fontId="0" fillId="3" borderId="0" xfId="1" quotePrefix="1" applyNumberFormat="1" applyFont="1" applyFill="1" applyBorder="1"/>
    <xf numFmtId="2" fontId="1" fillId="3" borderId="0" xfId="0" applyNumberFormat="1" applyFont="1" applyFill="1" applyAlignment="1">
      <alignment horizontal="center"/>
    </xf>
    <xf numFmtId="9" fontId="0" fillId="3" borderId="0" xfId="2" applyFont="1" applyFill="1" applyBorder="1"/>
    <xf numFmtId="164" fontId="0" fillId="3" borderId="0" xfId="1" applyNumberFormat="1" applyFont="1" applyFill="1" applyBorder="1"/>
    <xf numFmtId="164" fontId="0" fillId="3" borderId="3" xfId="1" quotePrefix="1" applyNumberFormat="1" applyFont="1" applyFill="1" applyBorder="1"/>
    <xf numFmtId="164" fontId="0" fillId="0" borderId="0" xfId="1" applyNumberFormat="1" applyFont="1" applyBorder="1"/>
    <xf numFmtId="167" fontId="0" fillId="3" borderId="0" xfId="1" applyNumberFormat="1" applyFont="1" applyFill="1" applyBorder="1" applyAlignment="1">
      <alignment horizontal="right"/>
    </xf>
    <xf numFmtId="164" fontId="0" fillId="3" borderId="3" xfId="0" applyNumberFormat="1" applyFill="1" applyBorder="1"/>
    <xf numFmtId="0" fontId="1" fillId="3" borderId="3" xfId="0" applyFont="1" applyFill="1" applyBorder="1"/>
    <xf numFmtId="167" fontId="0" fillId="3" borderId="3" xfId="1" applyNumberFormat="1" applyFont="1" applyFill="1" applyBorder="1"/>
    <xf numFmtId="165" fontId="0" fillId="3" borderId="3" xfId="0" applyNumberFormat="1" applyFill="1" applyBorder="1"/>
    <xf numFmtId="164" fontId="1" fillId="3" borderId="3" xfId="0" applyNumberFormat="1" applyFont="1" applyFill="1" applyBorder="1"/>
    <xf numFmtId="164" fontId="1" fillId="3" borderId="3" xfId="1" quotePrefix="1" applyNumberFormat="1" applyFont="1" applyFill="1" applyBorder="1"/>
    <xf numFmtId="43" fontId="0" fillId="0" borderId="0" xfId="0" applyNumberFormat="1"/>
    <xf numFmtId="43" fontId="0" fillId="0" borderId="3" xfId="0" applyNumberFormat="1" applyBorder="1"/>
    <xf numFmtId="164" fontId="0" fillId="3" borderId="3" xfId="1" applyNumberFormat="1" applyFont="1" applyFill="1" applyBorder="1" applyAlignment="1">
      <alignment horizontal="right"/>
    </xf>
    <xf numFmtId="164" fontId="0" fillId="3" borderId="3" xfId="0" applyNumberFormat="1" applyFill="1" applyBorder="1" applyAlignment="1">
      <alignment wrapText="1"/>
    </xf>
    <xf numFmtId="167" fontId="0" fillId="3" borderId="3" xfId="1" applyNumberFormat="1" applyFont="1" applyFill="1" applyBorder="1" applyAlignment="1">
      <alignment horizontal="right"/>
    </xf>
    <xf numFmtId="164" fontId="0" fillId="3" borderId="0" xfId="1" applyNumberFormat="1" applyFont="1" applyFill="1"/>
    <xf numFmtId="164" fontId="0" fillId="3" borderId="7" xfId="1" applyNumberFormat="1" applyFont="1" applyFill="1" applyBorder="1"/>
    <xf numFmtId="1" fontId="4" fillId="3" borderId="3" xfId="0" applyNumberFormat="1" applyFont="1" applyFill="1" applyBorder="1"/>
    <xf numFmtId="43" fontId="4" fillId="3" borderId="3" xfId="0" applyNumberFormat="1" applyFont="1" applyFill="1" applyBorder="1"/>
    <xf numFmtId="1" fontId="4" fillId="0" borderId="3" xfId="0" applyNumberFormat="1" applyFont="1" applyBorder="1"/>
    <xf numFmtId="1" fontId="0" fillId="3" borderId="3" xfId="0" applyNumberFormat="1" applyFill="1" applyBorder="1"/>
    <xf numFmtId="0" fontId="0" fillId="3" borderId="3" xfId="0" applyFill="1" applyBorder="1" applyAlignment="1">
      <alignment horizontal="left" wrapText="1"/>
    </xf>
    <xf numFmtId="0" fontId="1" fillId="3" borderId="3" xfId="0" applyFont="1" applyFill="1" applyBorder="1" applyAlignment="1">
      <alignment wrapText="1"/>
    </xf>
    <xf numFmtId="3" fontId="5" fillId="3" borderId="3" xfId="0" applyNumberFormat="1" applyFont="1" applyFill="1" applyBorder="1"/>
    <xf numFmtId="0" fontId="1" fillId="3" borderId="12" xfId="0" applyFont="1" applyFill="1" applyBorder="1" applyAlignment="1">
      <alignment horizontal="left"/>
    </xf>
    <xf numFmtId="0" fontId="1" fillId="3" borderId="17" xfId="0" applyFont="1" applyFill="1" applyBorder="1" applyAlignment="1">
      <alignment horizontal="left"/>
    </xf>
    <xf numFmtId="0" fontId="1" fillId="3" borderId="14" xfId="0" applyFont="1" applyFill="1" applyBorder="1" applyAlignment="1">
      <alignment horizontal="left"/>
    </xf>
    <xf numFmtId="9" fontId="0" fillId="3" borderId="3" xfId="2" applyFont="1" applyFill="1" applyBorder="1"/>
    <xf numFmtId="166" fontId="0" fillId="3" borderId="3" xfId="2" applyNumberFormat="1" applyFont="1" applyFill="1" applyBorder="1"/>
    <xf numFmtId="43" fontId="1" fillId="3" borderId="3" xfId="0" applyNumberFormat="1" applyFont="1" applyFill="1" applyBorder="1"/>
    <xf numFmtId="164" fontId="5" fillId="3" borderId="3" xfId="0" applyNumberFormat="1" applyFont="1" applyFill="1" applyBorder="1"/>
    <xf numFmtId="164" fontId="5" fillId="0" borderId="3" xfId="0" applyNumberFormat="1" applyFont="1" applyBorder="1"/>
    <xf numFmtId="167" fontId="0" fillId="3" borderId="0" xfId="1" applyNumberFormat="1" applyFont="1" applyFill="1" applyBorder="1"/>
    <xf numFmtId="0" fontId="0" fillId="3" borderId="0" xfId="0" applyFill="1" applyAlignment="1">
      <alignment horizontal="right"/>
    </xf>
    <xf numFmtId="0" fontId="1" fillId="3" borderId="3" xfId="0" applyFont="1" applyFill="1" applyBorder="1" applyAlignment="1">
      <alignment horizontal="left"/>
    </xf>
    <xf numFmtId="1" fontId="0" fillId="3" borderId="3" xfId="1" applyNumberFormat="1" applyFont="1" applyFill="1" applyBorder="1"/>
    <xf numFmtId="3" fontId="1" fillId="3" borderId="3" xfId="0" applyNumberFormat="1" applyFont="1" applyFill="1" applyBorder="1"/>
    <xf numFmtId="164" fontId="1" fillId="3" borderId="3" xfId="1" applyNumberFormat="1" applyFont="1" applyFill="1" applyBorder="1"/>
    <xf numFmtId="43" fontId="1" fillId="0" borderId="3" xfId="0" applyNumberFormat="1" applyFont="1" applyBorder="1"/>
    <xf numFmtId="1" fontId="1" fillId="3" borderId="3" xfId="0" applyNumberFormat="1" applyFont="1" applyFill="1" applyBorder="1" applyAlignment="1">
      <alignment wrapText="1"/>
    </xf>
    <xf numFmtId="164" fontId="1" fillId="0" borderId="3" xfId="1" applyNumberFormat="1" applyFont="1" applyBorder="1"/>
    <xf numFmtId="0" fontId="1" fillId="3" borderId="3" xfId="0" applyFont="1" applyFill="1" applyBorder="1" applyAlignment="1">
      <alignment horizontal="center"/>
    </xf>
    <xf numFmtId="0" fontId="1" fillId="2" borderId="3" xfId="0" applyFont="1" applyFill="1" applyBorder="1"/>
    <xf numFmtId="0" fontId="1" fillId="2" borderId="12" xfId="0" applyFont="1" applyFill="1" applyBorder="1" applyAlignment="1">
      <alignment horizontal="center" wrapText="1"/>
    </xf>
    <xf numFmtId="0" fontId="8" fillId="0" borderId="0" xfId="3" applyAlignment="1">
      <alignment vertical="center"/>
    </xf>
    <xf numFmtId="0" fontId="0" fillId="3" borderId="12" xfId="0" applyFill="1" applyBorder="1"/>
    <xf numFmtId="0" fontId="0" fillId="3" borderId="17" xfId="0" applyFill="1" applyBorder="1"/>
    <xf numFmtId="0" fontId="0" fillId="3" borderId="14" xfId="0" applyFill="1" applyBorder="1"/>
    <xf numFmtId="2" fontId="1" fillId="3" borderId="3" xfId="0" applyNumberFormat="1" applyFont="1" applyFill="1" applyBorder="1" applyAlignment="1">
      <alignment horizontal="center"/>
    </xf>
    <xf numFmtId="167" fontId="1" fillId="3" borderId="3" xfId="1" applyNumberFormat="1" applyFont="1" applyFill="1" applyBorder="1" applyAlignment="1">
      <alignment horizontal="right" wrapText="1"/>
    </xf>
    <xf numFmtId="0" fontId="0" fillId="0" borderId="12" xfId="0" applyBorder="1" applyAlignment="1">
      <alignment horizontal="right"/>
    </xf>
    <xf numFmtId="0" fontId="0" fillId="0" borderId="18" xfId="0" applyBorder="1"/>
    <xf numFmtId="0" fontId="0" fillId="3" borderId="18" xfId="0" applyFill="1" applyBorder="1"/>
    <xf numFmtId="0" fontId="1" fillId="3" borderId="0" xfId="0" applyFont="1" applyFill="1" applyAlignment="1">
      <alignment horizontal="left" wrapText="1"/>
    </xf>
    <xf numFmtId="1" fontId="0" fillId="3" borderId="0" xfId="0" applyNumberFormat="1" applyFill="1"/>
    <xf numFmtId="164" fontId="0" fillId="3" borderId="0" xfId="1" applyNumberFormat="1" applyFont="1" applyFill="1" applyBorder="1" applyAlignment="1">
      <alignment horizontal="right"/>
    </xf>
    <xf numFmtId="167" fontId="1" fillId="0" borderId="0" xfId="1" applyNumberFormat="1" applyFont="1" applyBorder="1"/>
    <xf numFmtId="164" fontId="1" fillId="0" borderId="0" xfId="1" applyNumberFormat="1" applyFont="1" applyBorder="1"/>
    <xf numFmtId="0" fontId="0" fillId="2" borderId="3" xfId="0" applyFill="1" applyBorder="1" applyAlignment="1">
      <alignment horizontal="left"/>
    </xf>
    <xf numFmtId="0" fontId="0" fillId="2" borderId="3" xfId="0" applyFill="1" applyBorder="1"/>
    <xf numFmtId="164" fontId="0" fillId="2" borderId="3" xfId="1" applyNumberFormat="1" applyFont="1" applyFill="1" applyBorder="1"/>
    <xf numFmtId="2" fontId="1" fillId="3" borderId="0" xfId="0" applyNumberFormat="1" applyFont="1" applyFill="1"/>
    <xf numFmtId="167" fontId="1" fillId="3" borderId="3" xfId="1" applyNumberFormat="1" applyFont="1" applyFill="1" applyBorder="1"/>
    <xf numFmtId="1" fontId="0" fillId="0" borderId="3" xfId="1" applyNumberFormat="1" applyFont="1" applyBorder="1"/>
    <xf numFmtId="43" fontId="1" fillId="3" borderId="3" xfId="1" applyFont="1" applyFill="1" applyBorder="1" applyAlignment="1">
      <alignment horizontal="right" indent="1"/>
    </xf>
    <xf numFmtId="164" fontId="1" fillId="3" borderId="0" xfId="1" quotePrefix="1" applyNumberFormat="1" applyFont="1" applyFill="1" applyBorder="1"/>
    <xf numFmtId="164" fontId="1" fillId="3" borderId="0" xfId="1" applyNumberFormat="1" applyFont="1" applyFill="1" applyBorder="1" applyAlignment="1">
      <alignment horizontal="right"/>
    </xf>
    <xf numFmtId="1" fontId="0" fillId="0" borderId="0" xfId="0" applyNumberFormat="1"/>
    <xf numFmtId="166" fontId="0" fillId="2" borderId="3" xfId="0" applyNumberFormat="1" applyFill="1" applyBorder="1"/>
    <xf numFmtId="2" fontId="0" fillId="2" borderId="3" xfId="0" applyNumberFormat="1" applyFill="1" applyBorder="1"/>
    <xf numFmtId="167" fontId="1" fillId="3" borderId="3" xfId="1" quotePrefix="1" applyNumberFormat="1" applyFont="1" applyFill="1" applyBorder="1"/>
    <xf numFmtId="0" fontId="1" fillId="0" borderId="0" xfId="0" applyFont="1" applyAlignment="1">
      <alignment horizontal="center"/>
    </xf>
    <xf numFmtId="0" fontId="1" fillId="2" borderId="3" xfId="0" applyFont="1" applyFill="1" applyBorder="1" applyAlignment="1">
      <alignment horizontal="left" wrapText="1"/>
    </xf>
    <xf numFmtId="0" fontId="1" fillId="2" borderId="3" xfId="0" applyFont="1" applyFill="1" applyBorder="1" applyAlignment="1">
      <alignment horizontal="center" wrapText="1"/>
    </xf>
    <xf numFmtId="0" fontId="1" fillId="2" borderId="3" xfId="0" applyFont="1" applyFill="1" applyBorder="1" applyAlignment="1">
      <alignment horizontal="center"/>
    </xf>
    <xf numFmtId="164" fontId="1" fillId="3" borderId="0" xfId="1" applyNumberFormat="1" applyFont="1" applyFill="1" applyBorder="1"/>
    <xf numFmtId="166" fontId="0" fillId="0" borderId="0" xfId="0" applyNumberFormat="1"/>
    <xf numFmtId="0" fontId="1" fillId="3" borderId="0" xfId="0" applyFont="1" applyFill="1" applyAlignment="1">
      <alignment wrapText="1"/>
    </xf>
    <xf numFmtId="166" fontId="0" fillId="3" borderId="0" xfId="0" applyNumberFormat="1" applyFill="1"/>
    <xf numFmtId="2" fontId="0" fillId="3" borderId="0" xfId="0" applyNumberFormat="1" applyFill="1"/>
    <xf numFmtId="0" fontId="0" fillId="0" borderId="12" xfId="0" applyBorder="1"/>
    <xf numFmtId="0" fontId="0" fillId="8" borderId="3" xfId="0" applyFill="1" applyBorder="1"/>
    <xf numFmtId="165" fontId="0" fillId="8" borderId="3" xfId="0" applyNumberFormat="1" applyFill="1" applyBorder="1"/>
    <xf numFmtId="0" fontId="7" fillId="3" borderId="0" xfId="0" applyFont="1" applyFill="1" applyAlignment="1">
      <alignment wrapText="1"/>
    </xf>
    <xf numFmtId="0" fontId="1" fillId="2" borderId="3" xfId="0" applyFont="1" applyFill="1" applyBorder="1" applyAlignment="1">
      <alignment wrapText="1"/>
    </xf>
    <xf numFmtId="0" fontId="1" fillId="4" borderId="12" xfId="0" applyFont="1" applyFill="1" applyBorder="1" applyAlignment="1">
      <alignment wrapText="1"/>
    </xf>
    <xf numFmtId="0" fontId="1" fillId="5" borderId="14" xfId="0" applyFont="1" applyFill="1" applyBorder="1"/>
    <xf numFmtId="0" fontId="1" fillId="5" borderId="3" xfId="0" applyFont="1" applyFill="1" applyBorder="1" applyAlignment="1">
      <alignment wrapText="1"/>
    </xf>
    <xf numFmtId="0" fontId="0" fillId="5" borderId="14" xfId="0" applyFill="1" applyBorder="1"/>
    <xf numFmtId="10" fontId="0" fillId="5" borderId="3" xfId="0" applyNumberFormat="1" applyFill="1" applyBorder="1" applyAlignment="1">
      <alignment horizontal="right"/>
    </xf>
    <xf numFmtId="0" fontId="0" fillId="5" borderId="3" xfId="0" applyFill="1" applyBorder="1"/>
    <xf numFmtId="0" fontId="1" fillId="7" borderId="3" xfId="0" applyFont="1" applyFill="1" applyBorder="1" applyAlignment="1">
      <alignment wrapText="1"/>
    </xf>
    <xf numFmtId="2" fontId="0" fillId="7" borderId="3" xfId="0" applyNumberFormat="1" applyFill="1" applyBorder="1"/>
    <xf numFmtId="165" fontId="0" fillId="3" borderId="0" xfId="0" applyNumberFormat="1" applyFill="1"/>
    <xf numFmtId="2" fontId="0" fillId="8" borderId="3" xfId="0" applyNumberFormat="1" applyFill="1" applyBorder="1"/>
    <xf numFmtId="0" fontId="0" fillId="6" borderId="3" xfId="0" applyFill="1" applyBorder="1"/>
    <xf numFmtId="9" fontId="0" fillId="6" borderId="3" xfId="2" applyFont="1" applyFill="1" applyBorder="1"/>
    <xf numFmtId="0" fontId="1" fillId="7" borderId="3" xfId="0" applyFont="1" applyFill="1" applyBorder="1" applyAlignment="1">
      <alignment horizontal="center" wrapText="1"/>
    </xf>
    <xf numFmtId="0" fontId="0" fillId="3" borderId="0" xfId="0" applyFill="1" applyAlignment="1">
      <alignment horizontal="left"/>
    </xf>
    <xf numFmtId="0" fontId="0" fillId="8" borderId="10" xfId="0" applyFill="1" applyBorder="1"/>
    <xf numFmtId="0" fontId="1" fillId="0" borderId="0" xfId="0" applyFont="1" applyAlignment="1">
      <alignment horizontal="center" vertical="top"/>
    </xf>
    <xf numFmtId="9" fontId="0" fillId="3" borderId="0" xfId="0" applyNumberFormat="1" applyFill="1"/>
    <xf numFmtId="2" fontId="0" fillId="9" borderId="3" xfId="0" applyNumberFormat="1" applyFill="1" applyBorder="1"/>
    <xf numFmtId="164" fontId="0" fillId="0" borderId="0" xfId="1" applyNumberFormat="1" applyFont="1"/>
    <xf numFmtId="2" fontId="0" fillId="3" borderId="0" xfId="0" applyNumberFormat="1" applyFill="1" applyAlignment="1">
      <alignment horizontal="right" wrapText="1"/>
    </xf>
    <xf numFmtId="0" fontId="1" fillId="8" borderId="3" xfId="0" applyFont="1" applyFill="1" applyBorder="1"/>
    <xf numFmtId="0" fontId="1" fillId="8" borderId="3" xfId="0" applyFont="1" applyFill="1" applyBorder="1" applyAlignment="1">
      <alignment horizontal="center"/>
    </xf>
    <xf numFmtId="2" fontId="1" fillId="8" borderId="3" xfId="0" applyNumberFormat="1" applyFont="1" applyFill="1" applyBorder="1" applyAlignment="1">
      <alignment horizontal="center"/>
    </xf>
    <xf numFmtId="0" fontId="1" fillId="8" borderId="12" xfId="0" applyFont="1" applyFill="1" applyBorder="1"/>
    <xf numFmtId="0" fontId="1" fillId="8" borderId="17" xfId="0" applyFont="1" applyFill="1" applyBorder="1"/>
    <xf numFmtId="0" fontId="1" fillId="8" borderId="12" xfId="0" applyFont="1" applyFill="1" applyBorder="1" applyAlignment="1">
      <alignment horizontal="center"/>
    </xf>
    <xf numFmtId="0" fontId="0" fillId="3" borderId="19" xfId="0" applyFill="1" applyBorder="1"/>
    <xf numFmtId="43" fontId="1" fillId="3" borderId="0" xfId="1" applyFont="1" applyFill="1" applyBorder="1" applyAlignment="1">
      <alignment horizontal="right" indent="1"/>
    </xf>
    <xf numFmtId="4" fontId="0" fillId="3" borderId="0" xfId="0" applyNumberFormat="1" applyFill="1"/>
    <xf numFmtId="167" fontId="1" fillId="3" borderId="0" xfId="1" applyNumberFormat="1" applyFont="1" applyFill="1" applyBorder="1"/>
    <xf numFmtId="167" fontId="6" fillId="3" borderId="3" xfId="1" applyNumberFormat="1" applyFont="1" applyFill="1" applyBorder="1" applyAlignment="1">
      <alignment horizontal="right" wrapText="1"/>
    </xf>
    <xf numFmtId="164" fontId="6" fillId="3" borderId="3" xfId="1" applyNumberFormat="1" applyFont="1" applyFill="1" applyBorder="1"/>
    <xf numFmtId="164" fontId="6" fillId="2" borderId="3" xfId="1" applyNumberFormat="1" applyFont="1" applyFill="1" applyBorder="1"/>
    <xf numFmtId="0" fontId="0" fillId="2" borderId="3" xfId="0" applyFill="1" applyBorder="1" applyAlignment="1">
      <alignment horizontal="right"/>
    </xf>
    <xf numFmtId="164" fontId="6" fillId="0" borderId="3" xfId="1" applyNumberFormat="1" applyFont="1" applyBorder="1"/>
    <xf numFmtId="0" fontId="0" fillId="2" borderId="3" xfId="1" applyNumberFormat="1" applyFont="1" applyFill="1" applyBorder="1"/>
    <xf numFmtId="164" fontId="6" fillId="3" borderId="3" xfId="1" applyNumberFormat="1" applyFont="1" applyFill="1" applyBorder="1" applyAlignment="1">
      <alignment horizontal="right"/>
    </xf>
    <xf numFmtId="167" fontId="6" fillId="3" borderId="3" xfId="1" applyNumberFormat="1" applyFont="1" applyFill="1" applyBorder="1" applyAlignment="1">
      <alignment horizontal="right"/>
    </xf>
    <xf numFmtId="43" fontId="0" fillId="3" borderId="0" xfId="1" applyFont="1" applyFill="1" applyBorder="1"/>
    <xf numFmtId="164" fontId="0" fillId="3" borderId="0" xfId="0" applyNumberFormat="1" applyFill="1"/>
    <xf numFmtId="165" fontId="0" fillId="0" borderId="3" xfId="0" applyNumberFormat="1" applyBorder="1"/>
    <xf numFmtId="164" fontId="4" fillId="3" borderId="10" xfId="1" applyNumberFormat="1" applyFont="1" applyFill="1" applyBorder="1" applyAlignment="1">
      <alignment horizontal="left"/>
    </xf>
    <xf numFmtId="164" fontId="4" fillId="3" borderId="0" xfId="1" applyNumberFormat="1" applyFont="1" applyFill="1" applyBorder="1" applyAlignment="1">
      <alignment horizontal="left"/>
    </xf>
    <xf numFmtId="164" fontId="1" fillId="3" borderId="0" xfId="0" applyNumberFormat="1" applyFont="1" applyFill="1"/>
    <xf numFmtId="167" fontId="1" fillId="3" borderId="0" xfId="1" quotePrefix="1" applyNumberFormat="1" applyFont="1" applyFill="1" applyBorder="1"/>
    <xf numFmtId="164" fontId="0" fillId="3" borderId="0" xfId="0" applyNumberFormat="1" applyFill="1" applyAlignment="1">
      <alignment wrapText="1"/>
    </xf>
    <xf numFmtId="164" fontId="13" fillId="3" borderId="0" xfId="1" quotePrefix="1" applyNumberFormat="1" applyFont="1" applyFill="1" applyBorder="1"/>
    <xf numFmtId="43" fontId="1" fillId="3" borderId="0" xfId="0" applyNumberFormat="1" applyFont="1" applyFill="1" applyAlignment="1">
      <alignment horizontal="center"/>
    </xf>
    <xf numFmtId="43" fontId="1" fillId="3" borderId="0" xfId="0" applyNumberFormat="1" applyFont="1" applyFill="1" applyAlignment="1">
      <alignment horizontal="center" wrapText="1"/>
    </xf>
    <xf numFmtId="164" fontId="1" fillId="3" borderId="0" xfId="0" applyNumberFormat="1" applyFont="1" applyFill="1" applyAlignment="1">
      <alignment horizontal="center" wrapText="1"/>
    </xf>
    <xf numFmtId="164" fontId="0" fillId="0" borderId="0" xfId="0" applyNumberFormat="1"/>
    <xf numFmtId="43" fontId="0" fillId="3" borderId="0" xfId="0" applyNumberFormat="1" applyFill="1"/>
    <xf numFmtId="9" fontId="1" fillId="3" borderId="3" xfId="2" quotePrefix="1" applyFont="1" applyFill="1" applyBorder="1"/>
    <xf numFmtId="167" fontId="1" fillId="3" borderId="3" xfId="0" applyNumberFormat="1" applyFont="1" applyFill="1" applyBorder="1"/>
    <xf numFmtId="0" fontId="4" fillId="3" borderId="0" xfId="0" applyFont="1" applyFill="1" applyAlignment="1">
      <alignment vertical="center"/>
    </xf>
    <xf numFmtId="0" fontId="0" fillId="3" borderId="0" xfId="0" applyFill="1" applyAlignment="1">
      <alignment horizontal="left" vertical="center" indent="1"/>
    </xf>
    <xf numFmtId="0" fontId="4" fillId="3" borderId="0" xfId="0" applyFont="1" applyFill="1" applyAlignment="1">
      <alignment horizontal="left" vertical="center" indent="1"/>
    </xf>
    <xf numFmtId="0" fontId="9" fillId="3" borderId="0" xfId="0" applyFont="1" applyFill="1" applyAlignment="1">
      <alignment vertical="center" wrapText="1"/>
    </xf>
    <xf numFmtId="0" fontId="10" fillId="3" borderId="0" xfId="0" applyFont="1" applyFill="1" applyAlignment="1">
      <alignment vertical="center" wrapText="1"/>
    </xf>
    <xf numFmtId="0" fontId="12" fillId="3" borderId="0" xfId="0" applyFont="1" applyFill="1" applyAlignment="1">
      <alignment vertical="center"/>
    </xf>
    <xf numFmtId="0" fontId="11" fillId="3" borderId="0" xfId="0" applyFont="1" applyFill="1" applyAlignment="1">
      <alignment vertical="center"/>
    </xf>
    <xf numFmtId="0" fontId="5" fillId="3" borderId="0" xfId="0" applyFont="1" applyFill="1" applyAlignment="1">
      <alignment vertical="center"/>
    </xf>
    <xf numFmtId="0" fontId="0" fillId="0" borderId="19" xfId="0" applyBorder="1"/>
    <xf numFmtId="167" fontId="6" fillId="3" borderId="3" xfId="1" applyNumberFormat="1" applyFont="1" applyFill="1" applyBorder="1"/>
    <xf numFmtId="43" fontId="6" fillId="3" borderId="3" xfId="1" applyFont="1" applyFill="1" applyBorder="1" applyAlignment="1">
      <alignment horizontal="right" wrapText="1"/>
    </xf>
    <xf numFmtId="0" fontId="1" fillId="10" borderId="3" xfId="0" applyFont="1" applyFill="1" applyBorder="1"/>
    <xf numFmtId="0" fontId="1" fillId="10" borderId="3" xfId="0" applyFont="1" applyFill="1" applyBorder="1" applyAlignment="1">
      <alignment horizontal="center"/>
    </xf>
    <xf numFmtId="0" fontId="1" fillId="10" borderId="3" xfId="0" applyFont="1" applyFill="1" applyBorder="1" applyAlignment="1">
      <alignment horizontal="center" wrapText="1"/>
    </xf>
    <xf numFmtId="0" fontId="14" fillId="10" borderId="3" xfId="0" applyFont="1" applyFill="1" applyBorder="1"/>
    <xf numFmtId="0" fontId="0" fillId="10" borderId="3" xfId="0" applyFill="1" applyBorder="1"/>
    <xf numFmtId="0" fontId="1" fillId="10" borderId="3" xfId="0" applyFont="1" applyFill="1" applyBorder="1" applyAlignment="1">
      <alignment wrapText="1"/>
    </xf>
    <xf numFmtId="167" fontId="0" fillId="0" borderId="3" xfId="1" applyNumberFormat="1" applyFont="1" applyBorder="1" applyAlignment="1">
      <alignment horizontal="left" indent="1"/>
    </xf>
    <xf numFmtId="43" fontId="1" fillId="3" borderId="3" xfId="1" quotePrefix="1" applyFont="1" applyFill="1" applyBorder="1"/>
    <xf numFmtId="43" fontId="1" fillId="3" borderId="3" xfId="1" applyFont="1" applyFill="1" applyBorder="1"/>
    <xf numFmtId="0" fontId="1" fillId="2" borderId="0" xfId="0" applyFont="1" applyFill="1"/>
    <xf numFmtId="0" fontId="15" fillId="0" borderId="3" xfId="0" applyFont="1" applyBorder="1" applyAlignment="1">
      <alignment horizontal="center" wrapText="1"/>
    </xf>
    <xf numFmtId="9" fontId="0" fillId="0" borderId="3" xfId="0" applyNumberFormat="1" applyBorder="1"/>
    <xf numFmtId="0" fontId="15" fillId="3" borderId="0" xfId="0" applyFont="1" applyFill="1" applyAlignment="1">
      <alignment horizontal="center" wrapText="1"/>
    </xf>
    <xf numFmtId="43" fontId="17" fillId="3" borderId="0" xfId="0" applyNumberFormat="1" applyFont="1" applyFill="1"/>
    <xf numFmtId="2" fontId="17" fillId="3" borderId="0" xfId="0" applyNumberFormat="1" applyFont="1" applyFill="1"/>
    <xf numFmtId="43" fontId="1" fillId="3" borderId="0" xfId="0" applyNumberFormat="1" applyFont="1" applyFill="1"/>
    <xf numFmtId="0" fontId="0" fillId="0" borderId="20" xfId="0" applyBorder="1"/>
    <xf numFmtId="0" fontId="0" fillId="0" borderId="20" xfId="0" applyBorder="1" applyAlignment="1">
      <alignment wrapText="1"/>
    </xf>
    <xf numFmtId="0" fontId="0" fillId="0" borderId="3" xfId="0" applyBorder="1" applyAlignment="1">
      <alignment wrapText="1"/>
    </xf>
    <xf numFmtId="0" fontId="20" fillId="3" borderId="3" xfId="0" applyFont="1" applyFill="1" applyBorder="1" applyAlignment="1">
      <alignment vertical="center" wrapText="1"/>
    </xf>
    <xf numFmtId="0" fontId="20" fillId="3" borderId="20" xfId="0" applyFont="1" applyFill="1" applyBorder="1" applyAlignment="1">
      <alignment vertical="center" wrapText="1"/>
    </xf>
    <xf numFmtId="0" fontId="20" fillId="3" borderId="14" xfId="0" applyFont="1" applyFill="1" applyBorder="1" applyAlignment="1">
      <alignment vertical="center" wrapText="1"/>
    </xf>
    <xf numFmtId="0" fontId="0" fillId="0" borderId="21" xfId="0" applyBorder="1" applyAlignment="1">
      <alignment wrapText="1"/>
    </xf>
    <xf numFmtId="0" fontId="20" fillId="2" borderId="22" xfId="0" applyFont="1" applyFill="1" applyBorder="1" applyAlignment="1">
      <alignment vertical="center" wrapText="1"/>
    </xf>
    <xf numFmtId="0" fontId="20" fillId="2" borderId="14" xfId="0" applyFont="1" applyFill="1" applyBorder="1" applyAlignment="1">
      <alignment vertical="center" wrapText="1"/>
    </xf>
    <xf numFmtId="0" fontId="0" fillId="2" borderId="13" xfId="0" applyFill="1" applyBorder="1" applyAlignment="1">
      <alignment wrapText="1"/>
    </xf>
    <xf numFmtId="0" fontId="0" fillId="2" borderId="23" xfId="0" applyFill="1" applyBorder="1" applyAlignment="1">
      <alignment wrapText="1"/>
    </xf>
    <xf numFmtId="0" fontId="0" fillId="3" borderId="20" xfId="0" applyFill="1" applyBorder="1"/>
    <xf numFmtId="0" fontId="20" fillId="3" borderId="20" xfId="0" applyFont="1" applyFill="1" applyBorder="1" applyAlignment="1">
      <alignment horizontal="left" vertical="center" wrapText="1"/>
    </xf>
    <xf numFmtId="0" fontId="0" fillId="3" borderId="3" xfId="0" applyFill="1" applyBorder="1" applyAlignment="1">
      <alignment horizontal="left" vertical="center" wrapText="1"/>
    </xf>
    <xf numFmtId="9" fontId="0" fillId="0" borderId="20" xfId="0" applyNumberFormat="1" applyBorder="1" applyAlignment="1">
      <alignment horizontal="left" wrapText="1"/>
    </xf>
    <xf numFmtId="0" fontId="0" fillId="3" borderId="20" xfId="0" applyFill="1" applyBorder="1" applyAlignment="1">
      <alignment horizontal="left" vertical="center" wrapText="1"/>
    </xf>
    <xf numFmtId="2" fontId="1" fillId="3" borderId="3" xfId="1" applyNumberFormat="1" applyFont="1" applyFill="1" applyBorder="1" applyAlignment="1">
      <alignment horizontal="right" indent="1"/>
    </xf>
    <xf numFmtId="0" fontId="1" fillId="0" borderId="28" xfId="0" applyFont="1" applyBorder="1"/>
    <xf numFmtId="0" fontId="21" fillId="3" borderId="3" xfId="0" applyFont="1" applyFill="1" applyBorder="1"/>
    <xf numFmtId="164" fontId="21" fillId="3" borderId="3" xfId="0" applyNumberFormat="1" applyFont="1" applyFill="1" applyBorder="1"/>
    <xf numFmtId="43" fontId="21" fillId="3" borderId="3" xfId="1" quotePrefix="1" applyFont="1" applyFill="1" applyBorder="1"/>
    <xf numFmtId="0" fontId="16" fillId="0" borderId="0" xfId="0" applyFont="1"/>
    <xf numFmtId="43" fontId="17" fillId="0" borderId="0" xfId="0" applyNumberFormat="1" applyFont="1"/>
    <xf numFmtId="0" fontId="17" fillId="0" borderId="0" xfId="0" applyFont="1"/>
    <xf numFmtId="2" fontId="17" fillId="0" borderId="0" xfId="0" applyNumberFormat="1" applyFont="1"/>
    <xf numFmtId="0" fontId="17" fillId="3" borderId="0" xfId="0" applyFont="1" applyFill="1"/>
    <xf numFmtId="0" fontId="16" fillId="3" borderId="0" xfId="0" applyFont="1" applyFill="1"/>
    <xf numFmtId="43" fontId="16" fillId="0" borderId="0" xfId="0" applyNumberFormat="1" applyFont="1"/>
    <xf numFmtId="2" fontId="16" fillId="0" borderId="0" xfId="0" applyNumberFormat="1" applyFont="1"/>
    <xf numFmtId="43" fontId="16" fillId="3" borderId="0" xfId="0" applyNumberFormat="1" applyFont="1" applyFill="1"/>
    <xf numFmtId="2" fontId="16" fillId="3" borderId="0" xfId="0" applyNumberFormat="1" applyFont="1" applyFill="1"/>
    <xf numFmtId="168" fontId="1" fillId="3" borderId="3" xfId="1" applyNumberFormat="1" applyFont="1" applyFill="1" applyBorder="1"/>
    <xf numFmtId="168" fontId="1" fillId="3" borderId="3" xfId="1" applyNumberFormat="1" applyFont="1" applyFill="1" applyBorder="1" applyAlignment="1">
      <alignment horizontal="right" indent="1"/>
    </xf>
    <xf numFmtId="0" fontId="1" fillId="0" borderId="3" xfId="0" applyFont="1" applyBorder="1" applyAlignment="1">
      <alignment vertical="top" wrapText="1"/>
    </xf>
    <xf numFmtId="43" fontId="1" fillId="2" borderId="3" xfId="0" applyNumberFormat="1" applyFont="1" applyFill="1" applyBorder="1"/>
    <xf numFmtId="2" fontId="1" fillId="2" borderId="3" xfId="0" applyNumberFormat="1" applyFont="1" applyFill="1" applyBorder="1"/>
    <xf numFmtId="0" fontId="8" fillId="0" borderId="0" xfId="3"/>
    <xf numFmtId="9" fontId="1" fillId="3" borderId="3" xfId="2" applyFont="1" applyFill="1" applyBorder="1"/>
    <xf numFmtId="0" fontId="1" fillId="3" borderId="3" xfId="0" applyFont="1" applyFill="1" applyBorder="1" applyAlignment="1">
      <alignment horizontal="left" wrapText="1"/>
    </xf>
    <xf numFmtId="9" fontId="0" fillId="3" borderId="0" xfId="0" applyNumberFormat="1" applyFill="1" applyAlignment="1">
      <alignment wrapText="1"/>
    </xf>
    <xf numFmtId="9" fontId="1" fillId="3" borderId="0" xfId="0" applyNumberFormat="1" applyFont="1" applyFill="1" applyAlignment="1">
      <alignment horizontal="center"/>
    </xf>
    <xf numFmtId="2" fontId="1" fillId="0" borderId="3" xfId="0" applyNumberFormat="1" applyFont="1" applyBorder="1"/>
    <xf numFmtId="20" fontId="0" fillId="0" borderId="3" xfId="0" applyNumberFormat="1" applyBorder="1" applyAlignment="1">
      <alignment horizontal="right"/>
    </xf>
    <xf numFmtId="9" fontId="0" fillId="3" borderId="3" xfId="0" applyNumberFormat="1" applyFill="1" applyBorder="1"/>
    <xf numFmtId="9" fontId="0" fillId="0" borderId="0" xfId="0" applyNumberFormat="1" applyAlignment="1">
      <alignment horizontal="right"/>
    </xf>
    <xf numFmtId="0" fontId="0" fillId="0" borderId="7" xfId="0" applyBorder="1"/>
    <xf numFmtId="164" fontId="0" fillId="2" borderId="0" xfId="1" quotePrefix="1" applyNumberFormat="1" applyFont="1" applyFill="1" applyBorder="1"/>
    <xf numFmtId="2" fontId="0" fillId="2" borderId="0" xfId="0" applyNumberFormat="1" applyFill="1"/>
    <xf numFmtId="9" fontId="0" fillId="2" borderId="0" xfId="2" applyFont="1" applyFill="1" applyBorder="1"/>
    <xf numFmtId="164" fontId="1" fillId="2" borderId="0" xfId="1" applyNumberFormat="1" applyFont="1" applyFill="1" applyBorder="1" applyAlignment="1">
      <alignment horizontal="right"/>
    </xf>
    <xf numFmtId="2" fontId="1" fillId="2" borderId="0" xfId="0" applyNumberFormat="1" applyFont="1" applyFill="1"/>
    <xf numFmtId="2" fontId="1" fillId="2" borderId="0" xfId="0" applyNumberFormat="1" applyFont="1" applyFill="1" applyAlignment="1">
      <alignment horizontal="center"/>
    </xf>
    <xf numFmtId="164" fontId="1" fillId="2" borderId="0" xfId="1" quotePrefix="1" applyNumberFormat="1" applyFont="1" applyFill="1" applyBorder="1"/>
    <xf numFmtId="0" fontId="1" fillId="2" borderId="0" xfId="0" applyFont="1" applyFill="1" applyAlignment="1">
      <alignment horizontal="center" wrapText="1"/>
    </xf>
    <xf numFmtId="0" fontId="1" fillId="2" borderId="0" xfId="0" applyFont="1" applyFill="1" applyAlignment="1">
      <alignment horizontal="center"/>
    </xf>
    <xf numFmtId="1" fontId="0" fillId="2" borderId="0" xfId="0" quotePrefix="1" applyNumberFormat="1" applyFill="1"/>
    <xf numFmtId="164" fontId="0" fillId="2" borderId="3" xfId="1" quotePrefix="1" applyNumberFormat="1" applyFont="1" applyFill="1" applyBorder="1"/>
    <xf numFmtId="0" fontId="0" fillId="0" borderId="17" xfId="0" applyBorder="1"/>
    <xf numFmtId="0" fontId="0" fillId="0" borderId="14" xfId="0" applyBorder="1"/>
    <xf numFmtId="0" fontId="1" fillId="2" borderId="12" xfId="0" applyFont="1" applyFill="1" applyBorder="1"/>
    <xf numFmtId="0" fontId="1" fillId="2" borderId="17" xfId="0" applyFont="1" applyFill="1" applyBorder="1"/>
    <xf numFmtId="0" fontId="1" fillId="2" borderId="14" xfId="0" applyFont="1" applyFill="1" applyBorder="1"/>
    <xf numFmtId="1" fontId="1" fillId="0" borderId="3" xfId="0" applyNumberFormat="1" applyFont="1" applyBorder="1"/>
    <xf numFmtId="9" fontId="0" fillId="3" borderId="0" xfId="2" quotePrefix="1" applyFont="1" applyFill="1" applyBorder="1"/>
    <xf numFmtId="168" fontId="1" fillId="3" borderId="3" xfId="1" quotePrefix="1" applyNumberFormat="1" applyFont="1" applyFill="1" applyBorder="1"/>
    <xf numFmtId="169" fontId="1" fillId="3" borderId="3" xfId="1" applyNumberFormat="1" applyFont="1" applyFill="1" applyBorder="1" applyAlignment="1">
      <alignment horizontal="right" indent="1"/>
    </xf>
    <xf numFmtId="169" fontId="1" fillId="3" borderId="3" xfId="1" applyNumberFormat="1" applyFont="1" applyFill="1" applyBorder="1"/>
    <xf numFmtId="9" fontId="0" fillId="0" borderId="0" xfId="2" applyFont="1"/>
    <xf numFmtId="9" fontId="0" fillId="0" borderId="0" xfId="0" applyNumberFormat="1"/>
    <xf numFmtId="43" fontId="0" fillId="0" borderId="0" xfId="1" applyFont="1"/>
    <xf numFmtId="9" fontId="1" fillId="0" borderId="0" xfId="2" applyFont="1"/>
    <xf numFmtId="9" fontId="1" fillId="0" borderId="0" xfId="0" applyNumberFormat="1" applyFont="1"/>
    <xf numFmtId="43" fontId="0" fillId="2" borderId="0" xfId="1" applyFont="1" applyFill="1"/>
    <xf numFmtId="9" fontId="0" fillId="2" borderId="0" xfId="2" applyFont="1" applyFill="1"/>
    <xf numFmtId="1" fontId="15" fillId="0" borderId="3" xfId="0" applyNumberFormat="1" applyFont="1" applyBorder="1" applyAlignment="1">
      <alignment horizontal="right" wrapText="1"/>
    </xf>
    <xf numFmtId="1" fontId="15" fillId="0" borderId="3" xfId="0" applyNumberFormat="1" applyFont="1" applyBorder="1" applyAlignment="1">
      <alignment horizontal="center" wrapText="1"/>
    </xf>
    <xf numFmtId="1" fontId="15" fillId="0" borderId="3" xfId="1" applyNumberFormat="1" applyFont="1" applyBorder="1" applyAlignment="1">
      <alignment horizontal="center" wrapText="1"/>
    </xf>
    <xf numFmtId="164" fontId="1" fillId="2" borderId="3" xfId="0" applyNumberFormat="1" applyFont="1" applyFill="1" applyBorder="1"/>
    <xf numFmtId="0" fontId="1" fillId="12" borderId="3" xfId="0" applyFont="1" applyFill="1" applyBorder="1"/>
    <xf numFmtId="0" fontId="1" fillId="12" borderId="3" xfId="0" applyFont="1" applyFill="1" applyBorder="1" applyAlignment="1">
      <alignment horizontal="center"/>
    </xf>
    <xf numFmtId="0" fontId="1" fillId="12" borderId="3" xfId="0" applyFont="1" applyFill="1" applyBorder="1" applyAlignment="1">
      <alignment horizontal="center" wrapText="1"/>
    </xf>
    <xf numFmtId="0" fontId="14" fillId="12" borderId="3" xfId="0" applyFont="1" applyFill="1" applyBorder="1"/>
    <xf numFmtId="0" fontId="1" fillId="12" borderId="3" xfId="0" applyFont="1" applyFill="1" applyBorder="1" applyAlignment="1">
      <alignment wrapText="1"/>
    </xf>
    <xf numFmtId="0" fontId="8" fillId="13" borderId="0" xfId="3" applyFill="1"/>
    <xf numFmtId="0" fontId="1" fillId="8" borderId="7" xfId="0" applyFont="1" applyFill="1" applyBorder="1" applyAlignment="1">
      <alignment horizontal="center" wrapText="1"/>
    </xf>
    <xf numFmtId="0" fontId="1" fillId="8" borderId="3" xfId="0" applyFont="1" applyFill="1" applyBorder="1" applyAlignment="1">
      <alignment horizontal="center" wrapText="1"/>
    </xf>
    <xf numFmtId="3" fontId="0" fillId="0" borderId="3" xfId="0" applyNumberFormat="1" applyBorder="1"/>
    <xf numFmtId="3" fontId="0" fillId="0" borderId="0" xfId="0" applyNumberFormat="1"/>
    <xf numFmtId="167" fontId="0" fillId="3" borderId="3" xfId="1" quotePrefix="1" applyNumberFormat="1" applyFont="1" applyFill="1" applyBorder="1"/>
    <xf numFmtId="167" fontId="0" fillId="3" borderId="0" xfId="1" quotePrefix="1" applyNumberFormat="1" applyFont="1" applyFill="1" applyBorder="1"/>
    <xf numFmtId="0" fontId="0" fillId="9" borderId="3" xfId="0" applyFill="1" applyBorder="1"/>
    <xf numFmtId="165" fontId="0" fillId="9" borderId="3" xfId="0" applyNumberFormat="1" applyFill="1" applyBorder="1"/>
    <xf numFmtId="0" fontId="0" fillId="0" borderId="7" xfId="0" applyBorder="1" applyAlignment="1">
      <alignment wrapText="1"/>
    </xf>
    <xf numFmtId="0" fontId="1" fillId="7" borderId="3" xfId="0" applyFont="1" applyFill="1" applyBorder="1"/>
    <xf numFmtId="0" fontId="1" fillId="7" borderId="3" xfId="0" applyFont="1" applyFill="1" applyBorder="1" applyAlignment="1">
      <alignment horizontal="center"/>
    </xf>
    <xf numFmtId="1" fontId="0" fillId="0" borderId="3" xfId="0" applyNumberFormat="1" applyBorder="1" applyAlignment="1">
      <alignment horizontal="right"/>
    </xf>
    <xf numFmtId="2" fontId="1" fillId="8" borderId="3" xfId="0" applyNumberFormat="1" applyFont="1" applyFill="1" applyBorder="1" applyAlignment="1">
      <alignment horizontal="center" wrapText="1"/>
    </xf>
    <xf numFmtId="0" fontId="1" fillId="8" borderId="0" xfId="0" applyFont="1" applyFill="1"/>
    <xf numFmtId="164" fontId="1" fillId="8" borderId="0" xfId="0" applyNumberFormat="1" applyFont="1" applyFill="1"/>
    <xf numFmtId="164" fontId="1" fillId="8" borderId="0" xfId="1" quotePrefix="1" applyNumberFormat="1" applyFont="1" applyFill="1" applyBorder="1"/>
    <xf numFmtId="43" fontId="1" fillId="8" borderId="0" xfId="1" quotePrefix="1" applyFont="1" applyFill="1" applyBorder="1"/>
    <xf numFmtId="0" fontId="0" fillId="8" borderId="0" xfId="0" applyFill="1" applyAlignment="1">
      <alignment horizontal="left"/>
    </xf>
    <xf numFmtId="2" fontId="0" fillId="8" borderId="0" xfId="0" applyNumberFormat="1" applyFill="1"/>
    <xf numFmtId="0" fontId="0" fillId="8" borderId="0" xfId="0" applyFill="1"/>
    <xf numFmtId="0" fontId="22" fillId="14" borderId="3" xfId="0" applyFont="1" applyFill="1" applyBorder="1"/>
    <xf numFmtId="0" fontId="22" fillId="14" borderId="3" xfId="0" applyFont="1" applyFill="1" applyBorder="1" applyAlignment="1">
      <alignment horizontal="center"/>
    </xf>
    <xf numFmtId="0" fontId="22" fillId="14" borderId="3" xfId="0" applyFont="1" applyFill="1" applyBorder="1" applyAlignment="1">
      <alignment horizontal="center" wrapText="1"/>
    </xf>
    <xf numFmtId="0" fontId="1" fillId="15" borderId="3" xfId="0" applyFont="1" applyFill="1" applyBorder="1"/>
    <xf numFmtId="0" fontId="1" fillId="15" borderId="3" xfId="0" applyFont="1" applyFill="1" applyBorder="1" applyAlignment="1">
      <alignment horizontal="center"/>
    </xf>
    <xf numFmtId="0" fontId="1" fillId="15" borderId="3" xfId="0" applyFont="1" applyFill="1" applyBorder="1" applyAlignment="1">
      <alignment horizontal="center" wrapText="1"/>
    </xf>
    <xf numFmtId="0" fontId="14" fillId="15" borderId="3" xfId="0" applyFont="1" applyFill="1" applyBorder="1"/>
    <xf numFmtId="0" fontId="1" fillId="15" borderId="3" xfId="0" applyFont="1" applyFill="1" applyBorder="1" applyAlignment="1">
      <alignment wrapText="1"/>
    </xf>
    <xf numFmtId="0" fontId="1" fillId="16" borderId="3" xfId="0" applyFont="1" applyFill="1" applyBorder="1"/>
    <xf numFmtId="0" fontId="23" fillId="14" borderId="3" xfId="0" applyFont="1" applyFill="1" applyBorder="1"/>
    <xf numFmtId="1" fontId="1" fillId="16" borderId="3" xfId="0" applyNumberFormat="1" applyFont="1" applyFill="1" applyBorder="1"/>
    <xf numFmtId="0" fontId="1" fillId="12" borderId="12" xfId="0" applyFont="1" applyFill="1" applyBorder="1"/>
    <xf numFmtId="0" fontId="15" fillId="3" borderId="3" xfId="0" applyFont="1" applyFill="1" applyBorder="1" applyAlignment="1">
      <alignment horizontal="center" wrapText="1"/>
    </xf>
    <xf numFmtId="0" fontId="1" fillId="3" borderId="12" xfId="0" applyFont="1" applyFill="1" applyBorder="1"/>
    <xf numFmtId="0" fontId="1" fillId="0" borderId="9" xfId="0" applyFont="1" applyBorder="1"/>
    <xf numFmtId="0" fontId="8" fillId="0" borderId="31" xfId="3" applyBorder="1"/>
    <xf numFmtId="0" fontId="0" fillId="0" borderId="32" xfId="0" applyBorder="1" applyAlignment="1">
      <alignment wrapText="1"/>
    </xf>
    <xf numFmtId="0" fontId="8" fillId="3" borderId="33" xfId="3" applyFill="1" applyBorder="1"/>
    <xf numFmtId="0" fontId="1" fillId="17" borderId="3" xfId="0" applyFont="1" applyFill="1" applyBorder="1"/>
    <xf numFmtId="0" fontId="1" fillId="17" borderId="3" xfId="0" applyFont="1" applyFill="1" applyBorder="1" applyAlignment="1">
      <alignment horizontal="center"/>
    </xf>
    <xf numFmtId="0" fontId="1" fillId="17" borderId="3" xfId="0" applyFont="1" applyFill="1" applyBorder="1" applyAlignment="1">
      <alignment horizontal="center" wrapText="1"/>
    </xf>
    <xf numFmtId="0" fontId="14" fillId="17" borderId="3" xfId="0" applyFont="1" applyFill="1" applyBorder="1"/>
    <xf numFmtId="1" fontId="22" fillId="14" borderId="3" xfId="0" applyNumberFormat="1" applyFont="1" applyFill="1" applyBorder="1"/>
    <xf numFmtId="0" fontId="22" fillId="14" borderId="3" xfId="0" applyFont="1" applyFill="1" applyBorder="1" applyAlignment="1">
      <alignment wrapText="1"/>
    </xf>
    <xf numFmtId="0" fontId="24" fillId="3" borderId="3" xfId="0" applyFont="1" applyFill="1" applyBorder="1"/>
    <xf numFmtId="164" fontId="24" fillId="3" borderId="3" xfId="0" applyNumberFormat="1" applyFont="1" applyFill="1" applyBorder="1"/>
    <xf numFmtId="43" fontId="24" fillId="3" borderId="3" xfId="1" quotePrefix="1" applyFont="1" applyFill="1" applyBorder="1"/>
    <xf numFmtId="43" fontId="0" fillId="3" borderId="3" xfId="0" applyNumberFormat="1" applyFill="1" applyBorder="1"/>
    <xf numFmtId="0" fontId="0" fillId="3" borderId="9" xfId="0" applyFill="1" applyBorder="1"/>
    <xf numFmtId="2" fontId="0" fillId="3" borderId="0" xfId="1" applyNumberFormat="1" applyFont="1" applyFill="1"/>
    <xf numFmtId="0" fontId="1" fillId="3" borderId="9" xfId="0" applyFont="1" applyFill="1" applyBorder="1"/>
    <xf numFmtId="2" fontId="1" fillId="3" borderId="0" xfId="1" applyNumberFormat="1" applyFont="1" applyFill="1"/>
    <xf numFmtId="1" fontId="1" fillId="17" borderId="3" xfId="0" applyNumberFormat="1" applyFont="1" applyFill="1" applyBorder="1"/>
    <xf numFmtId="1" fontId="1" fillId="12" borderId="3" xfId="0" applyNumberFormat="1" applyFont="1" applyFill="1" applyBorder="1"/>
    <xf numFmtId="166" fontId="0" fillId="0" borderId="3" xfId="0" applyNumberFormat="1" applyBorder="1"/>
    <xf numFmtId="9" fontId="1" fillId="2" borderId="3" xfId="0" applyNumberFormat="1" applyFont="1" applyFill="1" applyBorder="1"/>
    <xf numFmtId="0" fontId="15" fillId="11" borderId="29" xfId="0" applyFont="1" applyFill="1" applyBorder="1" applyAlignment="1">
      <alignment horizontal="center" wrapText="1"/>
    </xf>
    <xf numFmtId="0" fontId="1" fillId="16" borderId="12" xfId="0" applyFont="1" applyFill="1" applyBorder="1"/>
    <xf numFmtId="0" fontId="22" fillId="14" borderId="12" xfId="0" applyFont="1" applyFill="1" applyBorder="1"/>
    <xf numFmtId="0" fontId="22" fillId="15" borderId="12" xfId="0" applyFont="1" applyFill="1" applyBorder="1"/>
    <xf numFmtId="0" fontId="22" fillId="18" borderId="0" xfId="0" applyFont="1" applyFill="1"/>
    <xf numFmtId="0" fontId="1" fillId="11" borderId="0" xfId="0" applyFont="1" applyFill="1" applyAlignment="1">
      <alignment horizontal="left" wrapText="1"/>
    </xf>
    <xf numFmtId="0" fontId="8" fillId="14" borderId="0" xfId="3" applyFill="1"/>
    <xf numFmtId="0" fontId="8" fillId="15" borderId="0" xfId="3" applyFill="1"/>
    <xf numFmtId="0" fontId="8" fillId="12" borderId="0" xfId="3" applyFill="1"/>
    <xf numFmtId="0" fontId="8" fillId="16" borderId="0" xfId="3" applyFill="1"/>
    <xf numFmtId="10" fontId="0" fillId="3" borderId="3" xfId="2" applyNumberFormat="1" applyFont="1" applyFill="1" applyBorder="1"/>
    <xf numFmtId="164" fontId="6" fillId="3" borderId="3" xfId="2" applyNumberFormat="1" applyFont="1" applyFill="1" applyBorder="1"/>
    <xf numFmtId="10" fontId="0" fillId="3" borderId="0" xfId="0" applyNumberFormat="1" applyFill="1"/>
    <xf numFmtId="10" fontId="1" fillId="3" borderId="3" xfId="0" applyNumberFormat="1" applyFont="1" applyFill="1" applyBorder="1"/>
    <xf numFmtId="10" fontId="0" fillId="3" borderId="12" xfId="0" applyNumberFormat="1" applyFill="1" applyBorder="1"/>
    <xf numFmtId="10" fontId="0" fillId="3" borderId="3" xfId="0" applyNumberFormat="1" applyFill="1" applyBorder="1"/>
    <xf numFmtId="166" fontId="0" fillId="3" borderId="12" xfId="2" applyNumberFormat="1" applyFont="1" applyFill="1" applyBorder="1"/>
    <xf numFmtId="166" fontId="0" fillId="3" borderId="12" xfId="0" applyNumberFormat="1" applyFill="1" applyBorder="1"/>
    <xf numFmtId="166" fontId="0" fillId="3" borderId="3" xfId="0" applyNumberFormat="1" applyFill="1" applyBorder="1"/>
    <xf numFmtId="0" fontId="25" fillId="3" borderId="0" xfId="0" applyFont="1" applyFill="1"/>
    <xf numFmtId="0" fontId="1" fillId="3" borderId="0" xfId="0" applyFont="1" applyFill="1" applyAlignment="1">
      <alignment vertical="center"/>
    </xf>
    <xf numFmtId="0" fontId="0" fillId="3" borderId="20" xfId="0" applyFill="1" applyBorder="1" applyAlignment="1">
      <alignment vertical="center" wrapText="1"/>
    </xf>
    <xf numFmtId="0" fontId="25" fillId="3" borderId="3" xfId="0" applyFont="1" applyFill="1" applyBorder="1" applyAlignment="1">
      <alignment horizontal="left"/>
    </xf>
    <xf numFmtId="0" fontId="25" fillId="3" borderId="3" xfId="0" applyFont="1" applyFill="1" applyBorder="1" applyAlignment="1">
      <alignment horizontal="left" wrapText="1"/>
    </xf>
    <xf numFmtId="0" fontId="2" fillId="3" borderId="0" xfId="0" applyFont="1" applyFill="1" applyAlignment="1">
      <alignment horizontal="left" vertical="center" wrapText="1"/>
    </xf>
    <xf numFmtId="0" fontId="4" fillId="3" borderId="0" xfId="0" applyFont="1" applyFill="1" applyAlignment="1">
      <alignment horizontal="left" vertical="center" wrapText="1"/>
    </xf>
    <xf numFmtId="0" fontId="10" fillId="3" borderId="0" xfId="0" applyFont="1" applyFill="1" applyAlignment="1">
      <alignment vertical="center" wrapText="1"/>
    </xf>
    <xf numFmtId="0" fontId="5" fillId="3" borderId="0" xfId="0" applyFont="1" applyFill="1" applyAlignment="1">
      <alignment vertical="center" wrapText="1"/>
    </xf>
    <xf numFmtId="0" fontId="20" fillId="2" borderId="34" xfId="0" applyFont="1" applyFill="1" applyBorder="1" applyAlignment="1">
      <alignment horizontal="center" vertical="center" wrapText="1"/>
    </xf>
    <xf numFmtId="0" fontId="25" fillId="3" borderId="12" xfId="0" applyFont="1" applyFill="1" applyBorder="1" applyAlignment="1">
      <alignment horizontal="left" wrapText="1"/>
    </xf>
    <xf numFmtId="0" fontId="25" fillId="3" borderId="14" xfId="0" applyFont="1" applyFill="1" applyBorder="1" applyAlignment="1">
      <alignment horizontal="left" wrapText="1"/>
    </xf>
    <xf numFmtId="0" fontId="0" fillId="3" borderId="30" xfId="0" applyFill="1" applyBorder="1" applyAlignment="1">
      <alignment horizontal="left" wrapText="1"/>
    </xf>
    <xf numFmtId="0" fontId="19" fillId="3" borderId="3" xfId="0" applyFont="1" applyFill="1" applyBorder="1" applyAlignment="1">
      <alignment horizontal="center"/>
    </xf>
    <xf numFmtId="0" fontId="18" fillId="2" borderId="0" xfId="0" applyFont="1" applyFill="1" applyAlignment="1">
      <alignment horizontal="center"/>
    </xf>
    <xf numFmtId="0" fontId="19" fillId="0" borderId="3" xfId="0" applyFont="1" applyBorder="1" applyAlignment="1">
      <alignment horizontal="center"/>
    </xf>
    <xf numFmtId="0" fontId="19" fillId="0" borderId="20" xfId="0" applyFont="1" applyBorder="1" applyAlignment="1">
      <alignment horizontal="center"/>
    </xf>
    <xf numFmtId="0" fontId="0" fillId="0" borderId="20" xfId="0" applyBorder="1" applyAlignment="1">
      <alignment horizontal="left" wrapText="1"/>
    </xf>
    <xf numFmtId="0" fontId="0" fillId="0" borderId="20" xfId="0" applyBorder="1" applyAlignment="1">
      <alignment horizontal="left"/>
    </xf>
    <xf numFmtId="0" fontId="0" fillId="0" borderId="13" xfId="0" applyBorder="1" applyAlignment="1">
      <alignment horizontal="left" wrapText="1"/>
    </xf>
    <xf numFmtId="0" fontId="0" fillId="0" borderId="23" xfId="0" applyBorder="1" applyAlignment="1">
      <alignment horizontal="left" wrapText="1"/>
    </xf>
    <xf numFmtId="0" fontId="0" fillId="0" borderId="24" xfId="0" applyBorder="1" applyAlignment="1">
      <alignment horizontal="left" wrapText="1"/>
    </xf>
    <xf numFmtId="0" fontId="0" fillId="0" borderId="25" xfId="0" applyBorder="1" applyAlignment="1">
      <alignment horizontal="left" wrapText="1"/>
    </xf>
    <xf numFmtId="0" fontId="0" fillId="0" borderId="35" xfId="0" applyBorder="1" applyAlignment="1">
      <alignment horizontal="left" wrapText="1"/>
    </xf>
    <xf numFmtId="0" fontId="19" fillId="0" borderId="12" xfId="0" applyFont="1" applyBorder="1" applyAlignment="1">
      <alignment horizontal="center"/>
    </xf>
    <xf numFmtId="0" fontId="19" fillId="0" borderId="14" xfId="0" applyFont="1" applyBorder="1" applyAlignment="1">
      <alignment horizontal="center"/>
    </xf>
    <xf numFmtId="0" fontId="0" fillId="0" borderId="20" xfId="0" applyBorder="1" applyAlignment="1">
      <alignment horizontal="left" vertical="top" wrapText="1"/>
    </xf>
    <xf numFmtId="0" fontId="0" fillId="0" borderId="20" xfId="0" applyBorder="1" applyAlignment="1">
      <alignment horizontal="left" vertical="top"/>
    </xf>
    <xf numFmtId="0" fontId="4" fillId="3" borderId="26" xfId="0" applyFont="1" applyFill="1" applyBorder="1" applyAlignment="1">
      <alignment horizontal="left" vertical="center" wrapText="1"/>
    </xf>
    <xf numFmtId="0" fontId="20" fillId="3" borderId="27" xfId="0" applyFont="1" applyFill="1" applyBorder="1" applyAlignment="1">
      <alignment horizontal="left" vertical="center" wrapText="1"/>
    </xf>
    <xf numFmtId="0" fontId="19" fillId="0" borderId="7" xfId="0" applyFont="1" applyBorder="1" applyAlignment="1">
      <alignment horizontal="center"/>
    </xf>
    <xf numFmtId="0" fontId="0" fillId="3" borderId="3" xfId="0" applyFill="1" applyBorder="1" applyAlignment="1">
      <alignment wrapText="1"/>
    </xf>
    <xf numFmtId="0" fontId="0" fillId="3" borderId="12" xfId="0" applyFill="1" applyBorder="1"/>
    <xf numFmtId="0" fontId="0" fillId="3" borderId="17" xfId="0" applyFill="1" applyBorder="1"/>
    <xf numFmtId="0" fontId="0" fillId="3" borderId="14" xfId="0" applyFill="1" applyBorder="1"/>
    <xf numFmtId="0" fontId="0" fillId="3" borderId="30" xfId="0" applyFill="1" applyBorder="1" applyAlignment="1">
      <alignment wrapText="1"/>
    </xf>
    <xf numFmtId="164" fontId="0" fillId="3" borderId="0" xfId="0" applyNumberFormat="1" applyFill="1"/>
    <xf numFmtId="0" fontId="0" fillId="3" borderId="0" xfId="0" applyFill="1"/>
    <xf numFmtId="0" fontId="0" fillId="3" borderId="3" xfId="0" applyFill="1" applyBorder="1"/>
    <xf numFmtId="0" fontId="0" fillId="0" borderId="12" xfId="0" applyBorder="1" applyAlignment="1">
      <alignment horizontal="left"/>
    </xf>
    <xf numFmtId="0" fontId="0" fillId="0" borderId="14" xfId="0" applyBorder="1" applyAlignment="1">
      <alignment horizontal="left"/>
    </xf>
    <xf numFmtId="0" fontId="0" fillId="0" borderId="17" xfId="0" applyBorder="1" applyAlignment="1">
      <alignment horizontal="left"/>
    </xf>
    <xf numFmtId="0" fontId="0" fillId="0" borderId="3" xfId="0" applyBorder="1" applyAlignment="1">
      <alignment horizontal="left"/>
    </xf>
    <xf numFmtId="0" fontId="0" fillId="3" borderId="3" xfId="0" applyFill="1" applyBorder="1" applyAlignment="1">
      <alignment horizontal="left"/>
    </xf>
    <xf numFmtId="0" fontId="1" fillId="7" borderId="29" xfId="0" applyFont="1" applyFill="1" applyBorder="1" applyAlignment="1">
      <alignment horizontal="center" vertical="center" wrapText="1"/>
    </xf>
    <xf numFmtId="0" fontId="1" fillId="7" borderId="0" xfId="0" applyFont="1" applyFill="1" applyAlignment="1">
      <alignment horizontal="center" vertical="center" wrapText="1"/>
    </xf>
    <xf numFmtId="0" fontId="1" fillId="3" borderId="0" xfId="0" applyFont="1" applyFill="1" applyAlignment="1">
      <alignment horizontal="left" wrapText="1"/>
    </xf>
    <xf numFmtId="0" fontId="1" fillId="2" borderId="12" xfId="0" applyFont="1" applyFill="1" applyBorder="1" applyAlignment="1">
      <alignment horizontal="center"/>
    </xf>
    <xf numFmtId="0" fontId="1" fillId="2" borderId="17" xfId="0" applyFont="1" applyFill="1" applyBorder="1" applyAlignment="1">
      <alignment horizontal="center"/>
    </xf>
    <xf numFmtId="0" fontId="1" fillId="2" borderId="14" xfId="0" applyFont="1" applyFill="1" applyBorder="1" applyAlignment="1">
      <alignment horizontal="center"/>
    </xf>
    <xf numFmtId="0" fontId="1" fillId="2" borderId="3" xfId="0" applyFont="1" applyFill="1" applyBorder="1" applyAlignment="1">
      <alignment horizontal="left"/>
    </xf>
    <xf numFmtId="0" fontId="22" fillId="14" borderId="29" xfId="0" applyFont="1" applyFill="1" applyBorder="1" applyAlignment="1">
      <alignment horizontal="center" vertical="center" wrapText="1"/>
    </xf>
    <xf numFmtId="0" fontId="22" fillId="14" borderId="0" xfId="0" applyFont="1" applyFill="1" applyAlignment="1">
      <alignment horizontal="center" vertical="center" wrapText="1"/>
    </xf>
    <xf numFmtId="0" fontId="0" fillId="3" borderId="12" xfId="0" applyFill="1" applyBorder="1" applyAlignment="1">
      <alignment wrapText="1"/>
    </xf>
    <xf numFmtId="0" fontId="0" fillId="3" borderId="17" xfId="0" applyFill="1" applyBorder="1" applyAlignment="1">
      <alignment wrapText="1"/>
    </xf>
    <xf numFmtId="0" fontId="0" fillId="3" borderId="14" xfId="0" applyFill="1" applyBorder="1" applyAlignment="1">
      <alignment wrapText="1"/>
    </xf>
    <xf numFmtId="0" fontId="0" fillId="3" borderId="0" xfId="0" applyFill="1" applyAlignment="1">
      <alignment wrapText="1"/>
    </xf>
    <xf numFmtId="0" fontId="1" fillId="15" borderId="3" xfId="0" applyFont="1" applyFill="1" applyBorder="1" applyAlignment="1">
      <alignment horizontal="center" vertical="center" wrapText="1"/>
    </xf>
    <xf numFmtId="0" fontId="1" fillId="3" borderId="29" xfId="0" applyFont="1" applyFill="1" applyBorder="1" applyAlignment="1">
      <alignment horizontal="center" vertical="center" wrapText="1"/>
    </xf>
    <xf numFmtId="0" fontId="1" fillId="3" borderId="0" xfId="0" applyFont="1" applyFill="1" applyAlignment="1">
      <alignment horizontal="center" vertical="center" wrapText="1"/>
    </xf>
    <xf numFmtId="0" fontId="1" fillId="12" borderId="3" xfId="0" applyFont="1" applyFill="1" applyBorder="1" applyAlignment="1">
      <alignment horizontal="center" vertical="center" wrapText="1"/>
    </xf>
    <xf numFmtId="0" fontId="1" fillId="17" borderId="3" xfId="0" applyFont="1" applyFill="1" applyBorder="1" applyAlignment="1">
      <alignment horizontal="center" vertical="center" wrapText="1"/>
    </xf>
    <xf numFmtId="0" fontId="0" fillId="7" borderId="12" xfId="0" applyFill="1" applyBorder="1" applyAlignment="1">
      <alignment horizontal="left"/>
    </xf>
    <xf numFmtId="0" fontId="0" fillId="7" borderId="17" xfId="0" applyFill="1" applyBorder="1" applyAlignment="1">
      <alignment horizontal="left"/>
    </xf>
    <xf numFmtId="0" fontId="0" fillId="7" borderId="14" xfId="0" applyFill="1" applyBorder="1" applyAlignment="1">
      <alignment horizontal="left"/>
    </xf>
    <xf numFmtId="0" fontId="0" fillId="7" borderId="3" xfId="0" applyFill="1" applyBorder="1"/>
    <xf numFmtId="0" fontId="1" fillId="0" borderId="3" xfId="0" applyFont="1" applyBorder="1" applyAlignment="1">
      <alignment horizontal="center"/>
    </xf>
    <xf numFmtId="0" fontId="0" fillId="8" borderId="3" xfId="0" applyFill="1" applyBorder="1" applyAlignment="1">
      <alignment horizontal="left"/>
    </xf>
    <xf numFmtId="0" fontId="1" fillId="7" borderId="3" xfId="0" applyFont="1" applyFill="1" applyBorder="1" applyAlignment="1">
      <alignment horizontal="center" wrapText="1"/>
    </xf>
    <xf numFmtId="0" fontId="5" fillId="3" borderId="12" xfId="0" applyFont="1" applyFill="1" applyBorder="1" applyAlignment="1">
      <alignment horizontal="left"/>
    </xf>
    <xf numFmtId="0" fontId="5" fillId="3" borderId="17" xfId="0" applyFont="1" applyFill="1" applyBorder="1" applyAlignment="1">
      <alignment horizontal="left"/>
    </xf>
    <xf numFmtId="0" fontId="5" fillId="3" borderId="14" xfId="0" applyFont="1" applyFill="1" applyBorder="1" applyAlignment="1">
      <alignment horizontal="left"/>
    </xf>
    <xf numFmtId="0" fontId="1" fillId="3" borderId="12" xfId="0" applyFont="1" applyFill="1" applyBorder="1" applyAlignment="1">
      <alignment horizontal="left"/>
    </xf>
    <xf numFmtId="0" fontId="1" fillId="3" borderId="17" xfId="0" applyFont="1" applyFill="1" applyBorder="1" applyAlignment="1">
      <alignment horizontal="left"/>
    </xf>
    <xf numFmtId="0" fontId="1" fillId="3" borderId="14" xfId="0" applyFont="1" applyFill="1" applyBorder="1" applyAlignment="1">
      <alignment horizontal="left"/>
    </xf>
    <xf numFmtId="0" fontId="0" fillId="3" borderId="12" xfId="0" applyFill="1" applyBorder="1" applyAlignment="1">
      <alignment horizontal="left"/>
    </xf>
    <xf numFmtId="0" fontId="0" fillId="3" borderId="17" xfId="0" applyFill="1" applyBorder="1" applyAlignment="1">
      <alignment horizontal="left"/>
    </xf>
    <xf numFmtId="0" fontId="0" fillId="3" borderId="14" xfId="0" applyFill="1" applyBorder="1" applyAlignment="1">
      <alignment horizontal="left"/>
    </xf>
    <xf numFmtId="0" fontId="5" fillId="0" borderId="4" xfId="0" applyFont="1" applyBorder="1" applyAlignment="1">
      <alignment horizontal="center"/>
    </xf>
    <xf numFmtId="0" fontId="5" fillId="0" borderId="6" xfId="0" applyFont="1" applyBorder="1" applyAlignment="1">
      <alignment horizontal="center"/>
    </xf>
    <xf numFmtId="0" fontId="5" fillId="0" borderId="5" xfId="0" applyFont="1" applyBorder="1" applyAlignment="1">
      <alignment horizontal="center"/>
    </xf>
    <xf numFmtId="0" fontId="5" fillId="0" borderId="3" xfId="0" applyFont="1" applyBorder="1" applyAlignment="1">
      <alignment horizontal="center"/>
    </xf>
    <xf numFmtId="0" fontId="5" fillId="0" borderId="11" xfId="0" applyFont="1" applyBorder="1" applyAlignment="1">
      <alignment horizontal="center"/>
    </xf>
    <xf numFmtId="0" fontId="5" fillId="5" borderId="7" xfId="0" applyFont="1" applyFill="1" applyBorder="1" applyAlignment="1">
      <alignment horizontal="center" wrapText="1"/>
    </xf>
    <xf numFmtId="0" fontId="5" fillId="5" borderId="9" xfId="0" applyFont="1" applyFill="1" applyBorder="1" applyAlignment="1">
      <alignment horizontal="center" wrapText="1"/>
    </xf>
    <xf numFmtId="0" fontId="5" fillId="5" borderId="10" xfId="0" applyFont="1" applyFill="1" applyBorder="1" applyAlignment="1">
      <alignment horizontal="center" wrapText="1"/>
    </xf>
    <xf numFmtId="164" fontId="1" fillId="3" borderId="0" xfId="0" applyNumberFormat="1" applyFont="1" applyFill="1" applyAlignment="1">
      <alignment horizontal="center"/>
    </xf>
    <xf numFmtId="0" fontId="0" fillId="0" borderId="0" xfId="0" applyAlignment="1">
      <alignment horizontal="left" wrapText="1"/>
    </xf>
    <xf numFmtId="0" fontId="0" fillId="4" borderId="0" xfId="0" applyFill="1" applyAlignment="1">
      <alignment horizontal="left" wrapText="1"/>
    </xf>
    <xf numFmtId="0" fontId="4" fillId="0" borderId="0" xfId="0" applyFont="1" applyAlignment="1">
      <alignment horizontal="left" vertical="center" wrapText="1"/>
    </xf>
    <xf numFmtId="0" fontId="0" fillId="4" borderId="0" xfId="0" applyFill="1"/>
    <xf numFmtId="0" fontId="1" fillId="0" borderId="0" xfId="0" applyFont="1" applyAlignment="1">
      <alignment horizontal="left" wrapText="1"/>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colors>
    <mruColors>
      <color rgb="FFE59F53"/>
      <color rgb="FFD777AE"/>
      <color rgb="FFBC3783"/>
      <color rgb="FF504771"/>
      <color rgb="FFC4BFD7"/>
      <color rgb="FFFFCC66"/>
      <color rgb="FFEBEBFF"/>
      <color rgb="FFF2D2E4"/>
      <color rgb="FF2B263D"/>
      <color rgb="FFE6AC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r>
              <a:rPr lang="en-US" sz="1600" b="0" i="0" u="none" strike="noStrike" kern="1200" spc="0" baseline="0">
                <a:solidFill>
                  <a:sysClr val="windowText" lastClr="000000"/>
                </a:solidFill>
              </a:rPr>
              <a:t>Incremental cost per student per year over time, years 1-4</a:t>
            </a:r>
          </a:p>
        </c:rich>
      </c:tx>
      <c:layout>
        <c:manualLayout>
          <c:xMode val="edge"/>
          <c:yMode val="edge"/>
          <c:x val="0.21219220238979561"/>
          <c:y val="0"/>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965453642618991E-2"/>
          <c:y val="0.12040958889387608"/>
          <c:w val="0.90126819053278717"/>
          <c:h val="0.66458577905034599"/>
        </c:manualLayout>
      </c:layout>
      <c:barChart>
        <c:barDir val="col"/>
        <c:grouping val="stacked"/>
        <c:varyColors val="0"/>
        <c:ser>
          <c:idx val="1"/>
          <c:order val="1"/>
          <c:tx>
            <c:strRef>
              <c:f>'MULTI-YEAR SUMMARY '!$A$8</c:f>
              <c:strCache>
                <c:ptCount val="1"/>
                <c:pt idx="0">
                  <c:v>Training</c:v>
                </c:pt>
              </c:strCache>
            </c:strRef>
          </c:tx>
          <c:spPr>
            <a:solidFill>
              <a:srgbClr val="BC378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'!$B$5:$I$6</c15:sqref>
                  </c15:fullRef>
                </c:ext>
              </c:extLst>
              <c:f>('MULTI-YEAR SUMMARY '!$B$5:$B$6,'MULTI-YEAR SUMMARY '!$D$5:$D$6,'MULTI-YEAR SUMMARY '!$F$5:$F$6,'MULTI-YEAR SUMMARY '!$H$5:$H$6)</c:f>
              <c:multiLvlStrCache>
                <c:ptCount val="4"/>
                <c:lvl>
                  <c:pt idx="0">
                    <c:v>YEAR 1</c:v>
                  </c:pt>
                  <c:pt idx="1">
                    <c:v>YEAR 2</c:v>
                  </c:pt>
                  <c:pt idx="2">
                    <c:v>YEAR 3</c:v>
                  </c:pt>
                  <c:pt idx="3">
                    <c:v>YEAR 4</c:v>
                  </c:pt>
                </c:lvl>
                <c:lvl>
                  <c:pt idx="0">
                    <c:v>Cost per Student</c:v>
                  </c:pt>
                  <c:pt idx="1">
                    <c:v>Cost per Student</c:v>
                  </c:pt>
                  <c:pt idx="2">
                    <c:v>Cost per Student</c:v>
                  </c:pt>
                  <c:pt idx="3">
                    <c:v>Cost per Student</c:v>
                  </c:pt>
                </c:lvl>
              </c:multiLvlStrCache>
            </c:multiLvlStrRef>
          </c:cat>
          <c:val>
            <c:numRef>
              <c:extLst>
                <c:ext xmlns:c15="http://schemas.microsoft.com/office/drawing/2012/chart" uri="{02D57815-91ED-43cb-92C2-25804820EDAC}">
                  <c15:fullRef>
                    <c15:sqref>'MULTI-YEAR SUMMARY '!$B$8:$I$8</c15:sqref>
                  </c15:fullRef>
                </c:ext>
              </c:extLst>
              <c:f>('MULTI-YEAR SUMMARY '!$B$8,'MULTI-YEAR SUMMARY '!$D$8,'MULTI-YEAR SUMMARY '!$F$8,'MULTI-YEAR SUMMARY '!$H$8)</c:f>
              <c:numCache>
                <c:formatCode>0%</c:formatCode>
                <c:ptCount val="4"/>
                <c:pt idx="0" formatCode="_(* #,##0.00_);_(* \(#,##0.00\);_(* &quot;-&quot;??_);_(@_)">
                  <c:v>5.1073133333333338</c:v>
                </c:pt>
                <c:pt idx="1" formatCode="0.00">
                  <c:v>3.0880713333333336</c:v>
                </c:pt>
                <c:pt idx="2" formatCode="0.00">
                  <c:v>2.5221141466666674</c:v>
                </c:pt>
                <c:pt idx="3" formatCode="_(* #,##0.00_);_(* \(#,##0.00\);_(* &quot;-&quot;??_);_(@_)">
                  <c:v>2.6141749264000005</c:v>
                </c:pt>
              </c:numCache>
            </c:numRef>
          </c:val>
          <c:extLst>
            <c:ext xmlns:c16="http://schemas.microsoft.com/office/drawing/2014/chart" uri="{C3380CC4-5D6E-409C-BE32-E72D297353CC}">
              <c16:uniqueId val="{00000000-7880-40FE-B8C1-5D4943B34CDD}"/>
            </c:ext>
          </c:extLst>
        </c:ser>
        <c:ser>
          <c:idx val="3"/>
          <c:order val="3"/>
          <c:tx>
            <c:strRef>
              <c:f>'MULTI-YEAR SUMMARY '!$A$10</c:f>
              <c:strCache>
                <c:ptCount val="1"/>
                <c:pt idx="0">
                  <c:v>Materials</c:v>
                </c:pt>
              </c:strCache>
            </c:strRef>
          </c:tx>
          <c:spPr>
            <a:solidFill>
              <a:srgbClr val="E59F5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'!$B$5:$I$6</c15:sqref>
                  </c15:fullRef>
                </c:ext>
              </c:extLst>
              <c:f>('MULTI-YEAR SUMMARY '!$B$5:$B$6,'MULTI-YEAR SUMMARY '!$D$5:$D$6,'MULTI-YEAR SUMMARY '!$F$5:$F$6,'MULTI-YEAR SUMMARY '!$H$5:$H$6)</c:f>
              <c:multiLvlStrCache>
                <c:ptCount val="4"/>
                <c:lvl>
                  <c:pt idx="0">
                    <c:v>YEAR 1</c:v>
                  </c:pt>
                  <c:pt idx="1">
                    <c:v>YEAR 2</c:v>
                  </c:pt>
                  <c:pt idx="2">
                    <c:v>YEAR 3</c:v>
                  </c:pt>
                  <c:pt idx="3">
                    <c:v>YEAR 4</c:v>
                  </c:pt>
                </c:lvl>
                <c:lvl>
                  <c:pt idx="0">
                    <c:v>Cost per Student</c:v>
                  </c:pt>
                  <c:pt idx="1">
                    <c:v>Cost per Student</c:v>
                  </c:pt>
                  <c:pt idx="2">
                    <c:v>Cost per Student</c:v>
                  </c:pt>
                  <c:pt idx="3">
                    <c:v>Cost per Student</c:v>
                  </c:pt>
                </c:lvl>
              </c:multiLvlStrCache>
            </c:multiLvlStrRef>
          </c:cat>
          <c:val>
            <c:numRef>
              <c:extLst>
                <c:ext xmlns:c15="http://schemas.microsoft.com/office/drawing/2012/chart" uri="{02D57815-91ED-43cb-92C2-25804820EDAC}">
                  <c15:fullRef>
                    <c15:sqref>'MULTI-YEAR SUMMARY '!$B$10:$I$10</c15:sqref>
                  </c15:fullRef>
                </c:ext>
              </c:extLst>
              <c:f>('MULTI-YEAR SUMMARY '!$B$10,'MULTI-YEAR SUMMARY '!$D$10,'MULTI-YEAR SUMMARY '!$F$10,'MULTI-YEAR SUMMARY '!$H$10)</c:f>
              <c:numCache>
                <c:formatCode>0%</c:formatCode>
                <c:ptCount val="4"/>
                <c:pt idx="0" formatCode="_(* #,##0.00_);_(* \(#,##0.00\);_(* &quot;-&quot;??_);_(@_)">
                  <c:v>1.03</c:v>
                </c:pt>
                <c:pt idx="1" formatCode="0.00">
                  <c:v>0.1133</c:v>
                </c:pt>
                <c:pt idx="2" formatCode="0.00">
                  <c:v>0.12463000000000002</c:v>
                </c:pt>
                <c:pt idx="3" formatCode="_(* #,##0.00_);_(* \(#,##0.00\);_(* &quot;-&quot;??_);_(@_)">
                  <c:v>1.3709300000000004</c:v>
                </c:pt>
              </c:numCache>
            </c:numRef>
          </c:val>
          <c:extLst>
            <c:ext xmlns:c16="http://schemas.microsoft.com/office/drawing/2014/chart" uri="{C3380CC4-5D6E-409C-BE32-E72D297353CC}">
              <c16:uniqueId val="{00000001-7880-40FE-B8C1-5D4943B34CDD}"/>
            </c:ext>
          </c:extLst>
        </c:ser>
        <c:ser>
          <c:idx val="4"/>
          <c:order val="4"/>
          <c:tx>
            <c:strRef>
              <c:f>'MULTI-YEAR SUMMARY '!$A$11</c:f>
              <c:strCache>
                <c:ptCount val="1"/>
                <c:pt idx="0">
                  <c:v>Instructional Coaching </c:v>
                </c:pt>
              </c:strCache>
            </c:strRef>
          </c:tx>
          <c:spPr>
            <a:solidFill>
              <a:srgbClr val="C4BFD7"/>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'!$B$5:$I$6</c15:sqref>
                  </c15:fullRef>
                </c:ext>
              </c:extLst>
              <c:f>('MULTI-YEAR SUMMARY '!$B$5:$B$6,'MULTI-YEAR SUMMARY '!$D$5:$D$6,'MULTI-YEAR SUMMARY '!$F$5:$F$6,'MULTI-YEAR SUMMARY '!$H$5:$H$6)</c:f>
              <c:multiLvlStrCache>
                <c:ptCount val="4"/>
                <c:lvl>
                  <c:pt idx="0">
                    <c:v>YEAR 1</c:v>
                  </c:pt>
                  <c:pt idx="1">
                    <c:v>YEAR 2</c:v>
                  </c:pt>
                  <c:pt idx="2">
                    <c:v>YEAR 3</c:v>
                  </c:pt>
                  <c:pt idx="3">
                    <c:v>YEAR 4</c:v>
                  </c:pt>
                </c:lvl>
                <c:lvl>
                  <c:pt idx="0">
                    <c:v>Cost per Student</c:v>
                  </c:pt>
                  <c:pt idx="1">
                    <c:v>Cost per Student</c:v>
                  </c:pt>
                  <c:pt idx="2">
                    <c:v>Cost per Student</c:v>
                  </c:pt>
                  <c:pt idx="3">
                    <c:v>Cost per Student</c:v>
                  </c:pt>
                </c:lvl>
              </c:multiLvlStrCache>
            </c:multiLvlStrRef>
          </c:cat>
          <c:val>
            <c:numRef>
              <c:extLst>
                <c:ext xmlns:c15="http://schemas.microsoft.com/office/drawing/2012/chart" uri="{02D57815-91ED-43cb-92C2-25804820EDAC}">
                  <c15:fullRef>
                    <c15:sqref>'MULTI-YEAR SUMMARY '!$B$11:$I$11</c15:sqref>
                  </c15:fullRef>
                </c:ext>
              </c:extLst>
              <c:f>('MULTI-YEAR SUMMARY '!$B$11,'MULTI-YEAR SUMMARY '!$D$11,'MULTI-YEAR SUMMARY '!$F$11,'MULTI-YEAR SUMMARY '!$H$11)</c:f>
              <c:numCache>
                <c:formatCode>0%</c:formatCode>
                <c:ptCount val="4"/>
                <c:pt idx="0" formatCode="_(* #,##0.00_);_(* \(#,##0.00\);_(* &quot;-&quot;??_);_(@_)">
                  <c:v>0.70734884353741501</c:v>
                </c:pt>
                <c:pt idx="1" formatCode="_(* #,##0.00_);_(* \(#,##0.00\);_(* &quot;-&quot;??_);_(@_)">
                  <c:v>0.73894019217687079</c:v>
                </c:pt>
                <c:pt idx="2" formatCode="0.00">
                  <c:v>0.77445733210884349</c:v>
                </c:pt>
                <c:pt idx="3" formatCode="_(* #,##0.00_);_(* \(#,##0.00\);_(* &quot;-&quot;??_);_(@_)">
                  <c:v>0.81134243340544221</c:v>
                </c:pt>
              </c:numCache>
            </c:numRef>
          </c:val>
          <c:extLst xmlns:c15="http://schemas.microsoft.com/office/drawing/2012/chart">
            <c:ext xmlns:c16="http://schemas.microsoft.com/office/drawing/2014/chart" uri="{C3380CC4-5D6E-409C-BE32-E72D297353CC}">
              <c16:uniqueId val="{00000009-7880-40FE-B8C1-5D4943B34CDD}"/>
            </c:ext>
          </c:extLst>
        </c:ser>
        <c:dLbls>
          <c:showLegendKey val="0"/>
          <c:showVal val="0"/>
          <c:showCatName val="0"/>
          <c:showSerName val="0"/>
          <c:showPercent val="0"/>
          <c:showBubbleSize val="0"/>
        </c:dLbls>
        <c:gapWidth val="150"/>
        <c:overlap val="100"/>
        <c:axId val="1600448464"/>
        <c:axId val="1600432144"/>
        <c:extLst>
          <c:ext xmlns:c15="http://schemas.microsoft.com/office/drawing/2012/chart" uri="{02D57815-91ED-43cb-92C2-25804820EDAC}">
            <c15:filteredBarSeries>
              <c15:ser>
                <c:idx val="0"/>
                <c:order val="0"/>
                <c:tx>
                  <c:strRef>
                    <c:extLst>
                      <c:ext uri="{02D57815-91ED-43cb-92C2-25804820EDAC}">
                        <c15:formulaRef>
                          <c15:sqref>'MULTI-YEAR SUMMARY '!$A$7</c15:sqref>
                        </c15:formulaRef>
                      </c:ext>
                    </c:extLst>
                    <c:strCache>
                      <c:ptCount val="1"/>
                    </c:strCache>
                  </c:strRef>
                </c:tx>
                <c:spPr>
                  <a:solidFill>
                    <a:schemeClr val="accent4">
                      <a:shade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uri="{02D57815-91ED-43cb-92C2-25804820EDAC}">
                        <c15:fullRef>
                          <c15:sqref>'MULTI-YEAR SUMMARY '!$B$5:$I$6</c15:sqref>
                        </c15:fullRef>
                        <c15:formulaRef>
                          <c15:sqref>('MULTI-YEAR SUMMARY '!$B$5:$B$6,'MULTI-YEAR SUMMARY '!$D$5:$D$6,'MULTI-YEAR SUMMARY '!$F$5:$F$6,'MULTI-YEAR SUMMARY '!$H$5:$H$6)</c15:sqref>
                        </c15:formulaRef>
                      </c:ext>
                    </c:extLst>
                    <c:multiLvlStrCache>
                      <c:ptCount val="4"/>
                      <c:lvl>
                        <c:pt idx="0">
                          <c:v>YEAR 1</c:v>
                        </c:pt>
                        <c:pt idx="1">
                          <c:v>YEAR 2</c:v>
                        </c:pt>
                        <c:pt idx="2">
                          <c:v>YEAR 3</c:v>
                        </c:pt>
                        <c:pt idx="3">
                          <c:v>YEAR 4</c:v>
                        </c:pt>
                      </c:lvl>
                      <c:lvl>
                        <c:pt idx="0">
                          <c:v>Cost per Student</c:v>
                        </c:pt>
                        <c:pt idx="1">
                          <c:v>Cost per Student</c:v>
                        </c:pt>
                        <c:pt idx="2">
                          <c:v>Cost per Student</c:v>
                        </c:pt>
                        <c:pt idx="3">
                          <c:v>Cost per Student</c:v>
                        </c:pt>
                      </c:lvl>
                    </c:multiLvlStrCache>
                  </c:multiLvlStrRef>
                </c:cat>
                <c:val>
                  <c:numRef>
                    <c:extLst>
                      <c:ext uri="{02D57815-91ED-43cb-92C2-25804820EDAC}">
                        <c15:fullRef>
                          <c15:sqref>'MULTI-YEAR SUMMARY '!$B$7:$I$7</c15:sqref>
                        </c15:fullRef>
                        <c15:formulaRef>
                          <c15:sqref>('MULTI-YEAR SUMMARY '!$B$7,'MULTI-YEAR SUMMARY '!$D$7,'MULTI-YEAR SUMMARY '!$F$7,'MULTI-YEAR SUMMARY '!$H$7)</c15:sqref>
                        </c15:formulaRef>
                      </c:ext>
                    </c:extLst>
                    <c:numCache>
                      <c:formatCode>General</c:formatCode>
                      <c:ptCount val="4"/>
                    </c:numCache>
                  </c:numRef>
                </c:val>
                <c:extLst>
                  <c:ext xmlns:c16="http://schemas.microsoft.com/office/drawing/2014/chart" uri="{C3380CC4-5D6E-409C-BE32-E72D297353CC}">
                    <c16:uniqueId val="{00000007-7880-40FE-B8C1-5D4943B34CDD}"/>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'MULTI-YEAR SUMMARY '!$A$9</c15:sqref>
                        </c15:formulaRef>
                      </c:ext>
                    </c:extLst>
                    <c:strCache>
                      <c:ptCount val="1"/>
                    </c:strCache>
                  </c:strRef>
                </c:tx>
                <c:spPr>
                  <a:solidFill>
                    <a:schemeClr val="accent4">
                      <a:shade val="9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'!$B$5:$I$6</c15:sqref>
                        </c15:fullRef>
                        <c15:formulaRef>
                          <c15:sqref>('MULTI-YEAR SUMMARY '!$B$5:$B$6,'MULTI-YEAR SUMMARY '!$D$5:$D$6,'MULTI-YEAR SUMMARY '!$F$5:$F$6,'MULTI-YEAR SUMMARY '!$H$5:$H$6)</c15:sqref>
                        </c15:formulaRef>
                      </c:ext>
                    </c:extLst>
                    <c:multiLvlStrCache>
                      <c:ptCount val="4"/>
                      <c:lvl>
                        <c:pt idx="0">
                          <c:v>YEAR 1</c:v>
                        </c:pt>
                        <c:pt idx="1">
                          <c:v>YEAR 2</c:v>
                        </c:pt>
                        <c:pt idx="2">
                          <c:v>YEAR 3</c:v>
                        </c:pt>
                        <c:pt idx="3">
                          <c:v>YEAR 4</c:v>
                        </c:pt>
                      </c:lvl>
                      <c:lvl>
                        <c:pt idx="0">
                          <c:v>Cost per Student</c:v>
                        </c:pt>
                        <c:pt idx="1">
                          <c:v>Cost per Student</c:v>
                        </c:pt>
                        <c:pt idx="2">
                          <c:v>Cost per Student</c:v>
                        </c:pt>
                        <c:pt idx="3">
                          <c:v>Cost per Student</c:v>
                        </c:pt>
                      </c:lvl>
                    </c:multiLvlStrCache>
                  </c:multiLvlStrRef>
                </c:cat>
                <c:val>
                  <c:numRef>
                    <c:extLst>
                      <c:ext xmlns:c15="http://schemas.microsoft.com/office/drawing/2012/chart" uri="{02D57815-91ED-43cb-92C2-25804820EDAC}">
                        <c15:fullRef>
                          <c15:sqref>'MULTI-YEAR SUMMARY '!$B$9:$I$9</c15:sqref>
                        </c15:fullRef>
                        <c15:formulaRef>
                          <c15:sqref>('MULTI-YEAR SUMMARY '!$B$9,'MULTI-YEAR SUMMARY '!$D$9,'MULTI-YEAR SUMMARY '!$F$9,'MULTI-YEAR SUMMARY '!$H$9)</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08-7880-40FE-B8C1-5D4943B34CDD}"/>
                  </c:ext>
                </c:extLst>
              </c15:ser>
            </c15:filteredBarSeries>
          </c:ext>
        </c:extLst>
      </c:barChart>
      <c:lineChart>
        <c:grouping val="standard"/>
        <c:varyColors val="0"/>
        <c:ser>
          <c:idx val="5"/>
          <c:order val="5"/>
          <c:tx>
            <c:strRef>
              <c:f>'MULTI-YEAR SUMMARY '!$A$12</c:f>
              <c:strCache>
                <c:ptCount val="1"/>
                <c:pt idx="0">
                  <c:v>TOTAL</c:v>
                </c:pt>
              </c:strCache>
            </c:strRef>
          </c:tx>
          <c:spPr>
            <a:ln w="12700" cap="rnd">
              <a:solidFill>
                <a:srgbClr val="2B263D"/>
              </a:solidFill>
              <a:round/>
            </a:ln>
            <a:effectLst/>
          </c:spPr>
          <c:marker>
            <c:symbol val="none"/>
          </c:marker>
          <c:dLbls>
            <c:dLbl>
              <c:idx val="0"/>
              <c:layout>
                <c:manualLayout>
                  <c:x val="-3.1612541675533803E-2"/>
                  <c:y val="-3.11375341941205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880-40FE-B8C1-5D4943B34CDD}"/>
                </c:ext>
              </c:extLst>
            </c:dLbl>
            <c:dLbl>
              <c:idx val="1"/>
              <c:layout>
                <c:manualLayout>
                  <c:x val="-4.4707455486983044E-2"/>
                  <c:y val="-3.7342034226181119E-2"/>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3168980865050628E-2"/>
                      <c:h val="6.5832122035202251E-2"/>
                    </c:manualLayout>
                  </c15:layout>
                </c:ext>
                <c:ext xmlns:c16="http://schemas.microsoft.com/office/drawing/2014/chart" uri="{C3380CC4-5D6E-409C-BE32-E72D297353CC}">
                  <c16:uniqueId val="{00000003-7880-40FE-B8C1-5D4943B34CDD}"/>
                </c:ext>
              </c:extLst>
            </c:dLbl>
            <c:dLbl>
              <c:idx val="2"/>
              <c:layout>
                <c:manualLayout>
                  <c:x val="-3.5016102716890117E-2"/>
                  <c:y val="-3.83814045395884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880-40FE-B8C1-5D4943B34CDD}"/>
                </c:ext>
              </c:extLst>
            </c:dLbl>
            <c:dLbl>
              <c:idx val="3"/>
              <c:layout>
                <c:manualLayout>
                  <c:x val="-3.1803362417535647E-2"/>
                  <c:y val="-3.9722979081190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880-40FE-B8C1-5D4943B34CDD}"/>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'!$B$5:$I$6</c15:sqref>
                  </c15:fullRef>
                </c:ext>
              </c:extLst>
              <c:f>('MULTI-YEAR SUMMARY '!$B$5:$B$6,'MULTI-YEAR SUMMARY '!$D$5:$D$6,'MULTI-YEAR SUMMARY '!$F$5:$F$6,'MULTI-YEAR SUMMARY '!$H$5:$H$6)</c:f>
              <c:multiLvlStrCache>
                <c:ptCount val="4"/>
                <c:lvl>
                  <c:pt idx="0">
                    <c:v>YEAR 1</c:v>
                  </c:pt>
                  <c:pt idx="1">
                    <c:v>YEAR 2</c:v>
                  </c:pt>
                  <c:pt idx="2">
                    <c:v>YEAR 3</c:v>
                  </c:pt>
                  <c:pt idx="3">
                    <c:v>YEAR 4</c:v>
                  </c:pt>
                </c:lvl>
                <c:lvl>
                  <c:pt idx="0">
                    <c:v>Cost per Student</c:v>
                  </c:pt>
                  <c:pt idx="1">
                    <c:v>Cost per Student</c:v>
                  </c:pt>
                  <c:pt idx="2">
                    <c:v>Cost per Student</c:v>
                  </c:pt>
                  <c:pt idx="3">
                    <c:v>Cost per Student</c:v>
                  </c:pt>
                </c:lvl>
              </c:multiLvlStrCache>
            </c:multiLvlStrRef>
          </c:cat>
          <c:val>
            <c:numRef>
              <c:extLst>
                <c:ext xmlns:c15="http://schemas.microsoft.com/office/drawing/2012/chart" uri="{02D57815-91ED-43cb-92C2-25804820EDAC}">
                  <c15:fullRef>
                    <c15:sqref>'MULTI-YEAR SUMMARY '!$B$12:$I$12</c15:sqref>
                  </c15:fullRef>
                </c:ext>
              </c:extLst>
              <c:f>('MULTI-YEAR SUMMARY '!$B$12,'MULTI-YEAR SUMMARY '!$D$12,'MULTI-YEAR SUMMARY '!$F$12,'MULTI-YEAR SUMMARY '!$H$12)</c:f>
              <c:numCache>
                <c:formatCode>0%</c:formatCode>
                <c:ptCount val="4"/>
                <c:pt idx="0" formatCode="_(* #,##0.00_);_(* \(#,##0.00\);_(* &quot;-&quot;??_);_(@_)">
                  <c:v>6.8446621768707487</c:v>
                </c:pt>
                <c:pt idx="1" formatCode="_(* #,##0.00_);_(* \(#,##0.00\);_(* &quot;-&quot;??_);_(@_)">
                  <c:v>3.9403115255102046</c:v>
                </c:pt>
                <c:pt idx="2" formatCode="_(* #,##0.00_);_(* \(#,##0.00\);_(* &quot;-&quot;??_);_(@_)">
                  <c:v>3.4212014787755107</c:v>
                </c:pt>
                <c:pt idx="3" formatCode="_(* #,##0.00_);_(* \(#,##0.00\);_(* &quot;-&quot;??_);_(@_)">
                  <c:v>4.7964473598054429</c:v>
                </c:pt>
              </c:numCache>
            </c:numRef>
          </c:val>
          <c:smooth val="0"/>
          <c:extLst>
            <c:ext xmlns:c16="http://schemas.microsoft.com/office/drawing/2014/chart" uri="{C3380CC4-5D6E-409C-BE32-E72D297353CC}">
              <c16:uniqueId val="{00000006-7880-40FE-B8C1-5D4943B34CDD}"/>
            </c:ext>
          </c:extLst>
        </c:ser>
        <c:dLbls>
          <c:showLegendKey val="0"/>
          <c:showVal val="1"/>
          <c:showCatName val="0"/>
          <c:showSerName val="0"/>
          <c:showPercent val="0"/>
          <c:showBubbleSize val="0"/>
        </c:dLbls>
        <c:marker val="1"/>
        <c:smooth val="0"/>
        <c:axId val="1600448464"/>
        <c:axId val="1600432144"/>
        <c:extLst/>
      </c:lineChart>
      <c:catAx>
        <c:axId val="1600448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1600432144"/>
        <c:crosses val="autoZero"/>
        <c:auto val="1"/>
        <c:lblAlgn val="ctr"/>
        <c:lblOffset val="100"/>
        <c:noMultiLvlLbl val="0"/>
      </c:catAx>
      <c:valAx>
        <c:axId val="1600432144"/>
        <c:scaling>
          <c:orientation val="minMax"/>
          <c:max val="7"/>
        </c:scaling>
        <c:delete val="0"/>
        <c:axPos val="l"/>
        <c:title>
          <c:tx>
            <c:rich>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solidFill>
                      <a:sysClr val="windowText" lastClr="000000"/>
                    </a:solidFill>
                  </a:rPr>
                  <a:t>USD</a:t>
                </a:r>
              </a:p>
            </c:rich>
          </c:tx>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1600448464"/>
        <c:crosses val="autoZero"/>
        <c:crossBetween val="between"/>
      </c:valAx>
      <c:spPr>
        <a:noFill/>
        <a:ln>
          <a:noFill/>
        </a:ln>
        <a:effectLst/>
      </c:spPr>
    </c:plotArea>
    <c:legend>
      <c:legendPos val="b"/>
      <c:legendEntry>
        <c:idx val="0"/>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Entry>
      <c:legendEntry>
        <c:idx val="2"/>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Entry>
      <c:legendEntry>
        <c:idx val="3"/>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Entry>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Incremental</a:t>
            </a:r>
            <a:r>
              <a:rPr lang="en-US" baseline="0">
                <a:solidFill>
                  <a:sysClr val="windowText" lastClr="000000"/>
                </a:solidFill>
              </a:rPr>
              <a:t> cost per student over median SSA government annual expenditure, year 1</a:t>
            </a:r>
            <a:endParaRPr lang="en-US">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'MULTI-YEAR SUMMARY '!$A$40</c:f>
              <c:strCache>
                <c:ptCount val="1"/>
                <c:pt idx="0">
                  <c:v>Median Government Expenditure (SSA)</c:v>
                </c:pt>
              </c:strCache>
            </c:strRef>
          </c:tx>
          <c:spPr>
            <a:solidFill>
              <a:srgbClr val="50477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'!$B$38:$I$39</c15:sqref>
                  </c15:fullRef>
                </c:ext>
              </c:extLst>
              <c:f>'MULTI-YEAR SUMMARY '!$B$38:$B$39</c:f>
              <c:multiLvlStrCache>
                <c:ptCount val="1"/>
                <c:lvl>
                  <c:pt idx="0">
                    <c:v>YEAR 1</c:v>
                  </c:pt>
                </c:lvl>
                <c:lvl>
                  <c:pt idx="0">
                    <c:v>Cost per student</c:v>
                  </c:pt>
                </c:lvl>
              </c:multiLvlStrCache>
            </c:multiLvlStrRef>
          </c:cat>
          <c:val>
            <c:numRef>
              <c:extLst>
                <c:ext xmlns:c15="http://schemas.microsoft.com/office/drawing/2012/chart" uri="{02D57815-91ED-43cb-92C2-25804820EDAC}">
                  <c15:fullRef>
                    <c15:sqref>'MULTI-YEAR SUMMARY '!$B$40:$I$40</c15:sqref>
                  </c15:fullRef>
                </c:ext>
              </c:extLst>
              <c:f>'MULTI-YEAR SUMMARY '!$B$40</c:f>
              <c:numCache>
                <c:formatCode>0</c:formatCode>
                <c:ptCount val="1"/>
                <c:pt idx="0">
                  <c:v>306</c:v>
                </c:pt>
              </c:numCache>
            </c:numRef>
          </c:val>
          <c:extLst>
            <c:ext xmlns:c16="http://schemas.microsoft.com/office/drawing/2014/chart" uri="{C3380CC4-5D6E-409C-BE32-E72D297353CC}">
              <c16:uniqueId val="{00000000-AECF-45B1-8534-CD2862AE5FB7}"/>
            </c:ext>
          </c:extLst>
        </c:ser>
        <c:ser>
          <c:idx val="5"/>
          <c:order val="5"/>
          <c:tx>
            <c:strRef>
              <c:f>'MULTI-YEAR SUMMARY '!$A$45</c:f>
              <c:strCache>
                <c:ptCount val="1"/>
                <c:pt idx="0">
                  <c:v>Foundational Literacy Model</c:v>
                </c:pt>
              </c:strCache>
              <c:extLst xmlns:c15="http://schemas.microsoft.com/office/drawing/2012/chart"/>
            </c:strRef>
          </c:tx>
          <c:spPr>
            <a:solidFill>
              <a:srgbClr val="BC3783"/>
            </a:solidFill>
            <a:ln>
              <a:noFill/>
            </a:ln>
            <a:effectLst/>
          </c:spPr>
          <c:invertIfNegative val="0"/>
          <c:dLbls>
            <c:dLbl>
              <c:idx val="0"/>
              <c:layout>
                <c:manualLayout>
                  <c:x val="0.17976025314476027"/>
                  <c:y val="-3.3101370340259929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9E3-47C0-A222-43050752852F}"/>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'!$B$38:$I$39</c15:sqref>
                  </c15:fullRef>
                </c:ext>
              </c:extLst>
              <c:f>'MULTI-YEAR SUMMARY '!$B$38:$B$39</c:f>
              <c:multiLvlStrCache>
                <c:ptCount val="1"/>
                <c:lvl>
                  <c:pt idx="0">
                    <c:v>YEAR 1</c:v>
                  </c:pt>
                </c:lvl>
                <c:lvl>
                  <c:pt idx="0">
                    <c:v>Cost per student</c:v>
                  </c:pt>
                </c:lvl>
              </c:multiLvlStrCache>
            </c:multiLvlStrRef>
          </c:cat>
          <c:val>
            <c:numRef>
              <c:extLst>
                <c:ext xmlns:c15="http://schemas.microsoft.com/office/drawing/2012/chart" uri="{02D57815-91ED-43cb-92C2-25804820EDAC}">
                  <c15:fullRef>
                    <c15:sqref>'MULTI-YEAR SUMMARY '!$B$45:$I$45</c15:sqref>
                  </c15:fullRef>
                </c:ext>
              </c:extLst>
              <c:f>'MULTI-YEAR SUMMARY '!$B$45</c:f>
              <c:numCache>
                <c:formatCode>_(* #,##0_);_(* \(#,##0\);_(* "-"??_);_(@_)</c:formatCode>
                <c:ptCount val="1"/>
                <c:pt idx="0" formatCode="_(* #,##0.00_);_(* \(#,##0.00\);_(* &quot;-&quot;??_);_(@_)">
                  <c:v>6.8446621768707487</c:v>
                </c:pt>
              </c:numCache>
            </c:numRef>
          </c:val>
          <c:extLst xmlns:c15="http://schemas.microsoft.com/office/drawing/2012/chart">
            <c:ext xmlns:c16="http://schemas.microsoft.com/office/drawing/2014/chart" uri="{C3380CC4-5D6E-409C-BE32-E72D297353CC}">
              <c16:uniqueId val="{00000006-AECF-45B1-8534-CD2862AE5FB7}"/>
            </c:ext>
          </c:extLst>
        </c:ser>
        <c:dLbls>
          <c:dLblPos val="ctr"/>
          <c:showLegendKey val="0"/>
          <c:showVal val="1"/>
          <c:showCatName val="0"/>
          <c:showSerName val="0"/>
          <c:showPercent val="0"/>
          <c:showBubbleSize val="0"/>
        </c:dLbls>
        <c:gapWidth val="219"/>
        <c:overlap val="100"/>
        <c:axId val="1515744288"/>
        <c:axId val="1515733728"/>
        <c:extLst>
          <c:ext xmlns:c15="http://schemas.microsoft.com/office/drawing/2012/chart" uri="{02D57815-91ED-43cb-92C2-25804820EDAC}">
            <c15:filteredBarSeries>
              <c15:ser>
                <c:idx val="1"/>
                <c:order val="1"/>
                <c:tx>
                  <c:strRef>
                    <c:extLst>
                      <c:ext uri="{02D57815-91ED-43cb-92C2-25804820EDAC}">
                        <c15:formulaRef>
                          <c15:sqref>'MULTI-YEAR SUMMARY '!$A$41</c15:sqref>
                        </c15:formulaRef>
                      </c:ext>
                    </c:extLst>
                    <c:strCache>
                      <c:ptCount val="1"/>
                      <c:pt idx="0">
                        <c:v>Training</c:v>
                      </c:pt>
                    </c:strCache>
                  </c:strRef>
                </c:tx>
                <c:spPr>
                  <a:solidFill>
                    <a:srgbClr val="BC378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uri="{02D57815-91ED-43cb-92C2-25804820EDAC}">
                        <c15:fullRef>
                          <c15:sqref>'MULTI-YEAR SUMMARY '!$B$38:$I$39</c15:sqref>
                        </c15:fullRef>
                        <c15:formulaRef>
                          <c15:sqref>'MULTI-YEAR SUMMARY '!$B$38:$B$39</c15:sqref>
                        </c15:formulaRef>
                      </c:ext>
                    </c:extLst>
                    <c:multiLvlStrCache>
                      <c:ptCount val="1"/>
                      <c:lvl>
                        <c:pt idx="0">
                          <c:v>YEAR 1</c:v>
                        </c:pt>
                      </c:lvl>
                      <c:lvl>
                        <c:pt idx="0">
                          <c:v>Cost per student</c:v>
                        </c:pt>
                      </c:lvl>
                    </c:multiLvlStrCache>
                  </c:multiLvlStrRef>
                </c:cat>
                <c:val>
                  <c:numRef>
                    <c:extLst>
                      <c:ext uri="{02D57815-91ED-43cb-92C2-25804820EDAC}">
                        <c15:fullRef>
                          <c15:sqref>'MULTI-YEAR SUMMARY '!$B$41:$I$41</c15:sqref>
                        </c15:fullRef>
                        <c15:formulaRef>
                          <c15:sqref>'MULTI-YEAR SUMMARY '!$B$41</c15:sqref>
                        </c15:formulaRef>
                      </c:ext>
                    </c:extLst>
                    <c:numCache>
                      <c:formatCode>_(* #,##0.00_);_(* \(#,##0.00\);_(* "-"??_);_(@_)</c:formatCode>
                      <c:ptCount val="1"/>
                      <c:pt idx="0" formatCode="0.00">
                        <c:v>5.1073133333333338</c:v>
                      </c:pt>
                    </c:numCache>
                  </c:numRef>
                </c:val>
                <c:extLst>
                  <c:ext xmlns:c16="http://schemas.microsoft.com/office/drawing/2014/chart" uri="{C3380CC4-5D6E-409C-BE32-E72D297353CC}">
                    <c16:uniqueId val="{00000003-AECF-45B1-8534-CD2862AE5FB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'MULTI-YEAR SUMMARY '!$A$42</c15:sqref>
                        </c15:formulaRef>
                      </c:ext>
                    </c:extLst>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'!$B$38:$I$39</c15:sqref>
                        </c15:fullRef>
                        <c15:formulaRef>
                          <c15:sqref>'MULTI-YEAR SUMMARY '!$B$38:$B$39</c15:sqref>
                        </c15:formulaRef>
                      </c:ext>
                    </c:extLst>
                    <c:multiLvlStrCache>
                      <c:ptCount val="1"/>
                      <c:lvl>
                        <c:pt idx="0">
                          <c:v>YEAR 1</c:v>
                        </c:pt>
                      </c:lvl>
                      <c:lvl>
                        <c:pt idx="0">
                          <c:v>Cost per student</c:v>
                        </c:pt>
                      </c:lvl>
                    </c:multiLvlStrCache>
                  </c:multiLvlStrRef>
                </c:cat>
                <c:val>
                  <c:numRef>
                    <c:extLst>
                      <c:ext xmlns:c15="http://schemas.microsoft.com/office/drawing/2012/chart" uri="{02D57815-91ED-43cb-92C2-25804820EDAC}">
                        <c15:fullRef>
                          <c15:sqref>'MULTI-YEAR SUMMARY '!$B$42:$I$42</c15:sqref>
                        </c15:fullRef>
                        <c15:formulaRef>
                          <c15:sqref>'MULTI-YEAR SUMMARY '!$B$42</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4-AECF-45B1-8534-CD2862AE5FB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'MULTI-YEAR SUMMARY '!$A$43</c15:sqref>
                        </c15:formulaRef>
                      </c:ext>
                    </c:extLst>
                    <c:strCache>
                      <c:ptCount val="1"/>
                      <c:pt idx="0">
                        <c:v>Materials</c:v>
                      </c:pt>
                    </c:strCache>
                  </c:strRef>
                </c:tx>
                <c:spPr>
                  <a:solidFill>
                    <a:srgbClr val="E59F5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'!$B$38:$I$39</c15:sqref>
                        </c15:fullRef>
                        <c15:formulaRef>
                          <c15:sqref>'MULTI-YEAR SUMMARY '!$B$38:$B$39</c15:sqref>
                        </c15:formulaRef>
                      </c:ext>
                    </c:extLst>
                    <c:multiLvlStrCache>
                      <c:ptCount val="1"/>
                      <c:lvl>
                        <c:pt idx="0">
                          <c:v>YEAR 1</c:v>
                        </c:pt>
                      </c:lvl>
                      <c:lvl>
                        <c:pt idx="0">
                          <c:v>Cost per student</c:v>
                        </c:pt>
                      </c:lvl>
                    </c:multiLvlStrCache>
                  </c:multiLvlStrRef>
                </c:cat>
                <c:val>
                  <c:numRef>
                    <c:extLst>
                      <c:ext xmlns:c15="http://schemas.microsoft.com/office/drawing/2012/chart" uri="{02D57815-91ED-43cb-92C2-25804820EDAC}">
                        <c15:fullRef>
                          <c15:sqref>'MULTI-YEAR SUMMARY '!$B$43:$I$43</c15:sqref>
                        </c15:fullRef>
                        <c15:formulaRef>
                          <c15:sqref>'MULTI-YEAR SUMMARY '!$B$43</c15:sqref>
                        </c15:formulaRef>
                      </c:ext>
                    </c:extLst>
                    <c:numCache>
                      <c:formatCode>_(* #,##0.00_);_(* \(#,##0.00\);_(* "-"??_);_(@_)</c:formatCode>
                      <c:ptCount val="1"/>
                      <c:pt idx="0">
                        <c:v>1.03</c:v>
                      </c:pt>
                    </c:numCache>
                  </c:numRef>
                </c:val>
                <c:extLst xmlns:c15="http://schemas.microsoft.com/office/drawing/2012/chart">
                  <c:ext xmlns:c16="http://schemas.microsoft.com/office/drawing/2014/chart" uri="{C3380CC4-5D6E-409C-BE32-E72D297353CC}">
                    <c16:uniqueId val="{00000005-AECF-45B1-8534-CD2862AE5FB7}"/>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'MULTI-YEAR SUMMARY '!$A$44</c15:sqref>
                        </c15:formulaRef>
                      </c:ext>
                    </c:extLst>
                    <c:strCache>
                      <c:ptCount val="1"/>
                      <c:pt idx="0">
                        <c:v>Instructional Coaching </c:v>
                      </c:pt>
                    </c:strCache>
                  </c:strRef>
                </c:tx>
                <c:spPr>
                  <a:solidFill>
                    <a:schemeClr val="accent5"/>
                  </a:solidFill>
                  <a:ln>
                    <a:noFill/>
                  </a:ln>
                  <a:effectLst/>
                </c:spPr>
                <c:invertIfNegative val="0"/>
                <c:dLbls>
                  <c:dLbl>
                    <c:idx val="0"/>
                    <c:layout>
                      <c:manualLayout>
                        <c:x val="0.19300370073031947"/>
                        <c:y val="-7.4468742799013599E-3"/>
                      </c:manualLayout>
                    </c:layout>
                    <c:dLblPos val="ct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1-AECF-45B1-8534-CD2862AE5FB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'!$B$38:$I$39</c15:sqref>
                        </c15:fullRef>
                        <c15:formulaRef>
                          <c15:sqref>'MULTI-YEAR SUMMARY '!$B$38:$B$39</c15:sqref>
                        </c15:formulaRef>
                      </c:ext>
                    </c:extLst>
                    <c:multiLvlStrCache>
                      <c:ptCount val="1"/>
                      <c:lvl>
                        <c:pt idx="0">
                          <c:v>YEAR 1</c:v>
                        </c:pt>
                      </c:lvl>
                      <c:lvl>
                        <c:pt idx="0">
                          <c:v>Cost per student</c:v>
                        </c:pt>
                      </c:lvl>
                    </c:multiLvlStrCache>
                  </c:multiLvlStrRef>
                </c:cat>
                <c:val>
                  <c:numRef>
                    <c:extLst>
                      <c:ext xmlns:c15="http://schemas.microsoft.com/office/drawing/2012/chart" uri="{02D57815-91ED-43cb-92C2-25804820EDAC}">
                        <c15:fullRef>
                          <c15:sqref>'MULTI-YEAR SUMMARY '!$B$44:$I$44</c15:sqref>
                        </c15:fullRef>
                        <c15:formulaRef>
                          <c15:sqref>'MULTI-YEAR SUMMARY '!$B$44</c15:sqref>
                        </c15:formulaRef>
                      </c:ext>
                    </c:extLst>
                    <c:numCache>
                      <c:formatCode>_(* #,##0.00_);_(* \(#,##0.00\);_(* "-"??_);_(@_)</c:formatCode>
                      <c:ptCount val="1"/>
                      <c:pt idx="0">
                        <c:v>0.70734884353741501</c:v>
                      </c:pt>
                    </c:numCache>
                  </c:numRef>
                </c:val>
                <c:extLst xmlns:c15="http://schemas.microsoft.com/office/drawing/2012/chart">
                  <c:ext xmlns:c15="http://schemas.microsoft.com/office/drawing/2012/chart" uri="{02D57815-91ED-43cb-92C2-25804820EDAC}">
                    <c15:categoryFilterExceptions>
                      <c15:categoryFilterException>
                        <c15:sqref>'MULTI-YEAR SUMMARY '!$D$44</c15:sqref>
                        <c15:dLbl>
                          <c:idx val="0"/>
                          <c:layout>
                            <c:manualLayout>
                              <c:x val="6.6193861642419249E-2"/>
                              <c:y val="3.0651340996168583E-3"/>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0-F0A2-4D55-BD41-A9DEE3C97868}"/>
                            </c:ext>
                          </c:extLst>
                        </c15:dLbl>
                      </c15:categoryFilterException>
                      <c15:categoryFilterException>
                        <c15:sqref>'MULTI-YEAR SUMMARY '!$F$44</c15:sqref>
                        <c15:dLbl>
                          <c:idx val="0"/>
                          <c:layout>
                            <c:manualLayout>
                              <c:x val="6.6193861642419374E-2"/>
                              <c:y val="3.065134099616802E-3"/>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1-F0A2-4D55-BD41-A9DEE3C97868}"/>
                            </c:ext>
                          </c:extLst>
                        </c15:dLbl>
                      </c15:categoryFilterException>
                      <c15:categoryFilterException>
                        <c15:sqref>'MULTI-YEAR SUMMARY '!$H$44</c15:sqref>
                        <c15:dLbl>
                          <c:idx val="0"/>
                          <c:layout>
                            <c:manualLayout>
                              <c:x val="6.4617817317599635E-2"/>
                              <c:y val="0"/>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2-F0A2-4D55-BD41-A9DEE3C97868}"/>
                            </c:ext>
                          </c:extLst>
                        </c15:dLbl>
                      </c15:categoryFilterException>
                    </c15:categoryFilterExceptions>
                  </c:ext>
                  <c:ext xmlns:c16="http://schemas.microsoft.com/office/drawing/2014/chart" uri="{C3380CC4-5D6E-409C-BE32-E72D297353CC}">
                    <c16:uniqueId val="{00000002-AECF-45B1-8534-CD2862AE5FB7}"/>
                  </c:ext>
                </c:extLst>
              </c15:ser>
            </c15:filteredBarSeries>
          </c:ext>
        </c:extLst>
      </c:barChart>
      <c:catAx>
        <c:axId val="1515744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1515733728"/>
        <c:crosses val="autoZero"/>
        <c:auto val="1"/>
        <c:lblAlgn val="ctr"/>
        <c:lblOffset val="100"/>
        <c:noMultiLvlLbl val="0"/>
      </c:catAx>
      <c:valAx>
        <c:axId val="1515733728"/>
        <c:scaling>
          <c:orientation val="minMax"/>
          <c:max val="350"/>
          <c:min val="0"/>
        </c:scaling>
        <c:delete val="0"/>
        <c:axPos val="l"/>
        <c:title>
          <c:tx>
            <c:rich>
              <a:bodyPr rot="-54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r>
                  <a:rPr lang="en-US" sz="1050" b="1"/>
                  <a:t>USD</a:t>
                </a:r>
              </a:p>
            </c:rich>
          </c:tx>
          <c:layout>
            <c:manualLayout>
              <c:xMode val="edge"/>
              <c:yMode val="edge"/>
              <c:x val="1.260835459855607E-2"/>
              <c:y val="0.45080978670769595"/>
            </c:manualLayout>
          </c:layout>
          <c:overlay val="0"/>
          <c:spPr>
            <a:noFill/>
            <a:ln>
              <a:noFill/>
            </a:ln>
            <a:effectLst/>
          </c:spPr>
          <c:txPr>
            <a:bodyPr rot="-54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1515744288"/>
        <c:crosses val="autoZero"/>
        <c:crossBetween val="between"/>
        <c:majorUnit val="50"/>
      </c:valAx>
      <c:spPr>
        <a:noFill/>
        <a:ln>
          <a:noFill/>
        </a:ln>
        <a:effectLst/>
      </c:spPr>
    </c:plotArea>
    <c:legend>
      <c:legendPos val="r"/>
      <c:layout>
        <c:manualLayout>
          <c:xMode val="edge"/>
          <c:yMode val="edge"/>
          <c:x val="0.55053858347829565"/>
          <c:y val="0.35777427728760675"/>
          <c:w val="0.37980471526096077"/>
          <c:h val="0.35489134176161263"/>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r>
              <a:rPr lang="en-US" sz="1600">
                <a:solidFill>
                  <a:sysClr val="windowText" lastClr="000000"/>
                </a:solidFill>
              </a:rPr>
              <a:t>Incremental</a:t>
            </a:r>
            <a:r>
              <a:rPr lang="en-US" sz="1600" baseline="0">
                <a:solidFill>
                  <a:sysClr val="windowText" lastClr="000000"/>
                </a:solidFill>
              </a:rPr>
              <a:t> c</a:t>
            </a:r>
            <a:r>
              <a:rPr lang="en-US" sz="1600">
                <a:solidFill>
                  <a:sysClr val="windowText" lastClr="000000"/>
                </a:solidFill>
              </a:rPr>
              <a:t>ost</a:t>
            </a:r>
            <a:r>
              <a:rPr lang="en-US" sz="1600" baseline="0">
                <a:solidFill>
                  <a:sysClr val="windowText" lastClr="000000"/>
                </a:solidFill>
              </a:rPr>
              <a:t> by program component, years 1-4 </a:t>
            </a:r>
            <a:endParaRPr lang="en-US" sz="1600">
              <a:solidFill>
                <a:sysClr val="windowText" lastClr="000000"/>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1"/>
          <c:order val="1"/>
          <c:tx>
            <c:strRef>
              <c:f>'MULTI-YEAR SUMMARY '!$A$8</c:f>
              <c:strCache>
                <c:ptCount val="1"/>
                <c:pt idx="0">
                  <c:v>Training</c:v>
                </c:pt>
              </c:strCache>
            </c:strRef>
          </c:tx>
          <c:spPr>
            <a:solidFill>
              <a:srgbClr val="BC378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'!$B$5:$I$6</c15:sqref>
                  </c15:fullRef>
                </c:ext>
              </c:extLst>
              <c:f>('MULTI-YEAR SUMMARY '!$C$5:$C$6,'MULTI-YEAR SUMMARY '!$E$5:$E$6,'MULTI-YEAR SUMMARY '!$G$5:$G$6,'MULTI-YEAR SUMMARY '!$I$5:$I$6)</c:f>
              <c:multiLvlStrCache>
                <c:ptCount val="4"/>
                <c:lvl>
                  <c:pt idx="0">
                    <c:v>YEAR 1</c:v>
                  </c:pt>
                  <c:pt idx="1">
                    <c:v>YEAR 2</c:v>
                  </c:pt>
                  <c:pt idx="2">
                    <c:v>YEAR 3</c:v>
                  </c:pt>
                  <c:pt idx="3">
                    <c:v>YEAR 4</c:v>
                  </c:pt>
                </c:lvl>
                <c:lvl>
                  <c:pt idx="0">
                    <c:v>% of total cost </c:v>
                  </c:pt>
                  <c:pt idx="1">
                    <c:v>% of total cost </c:v>
                  </c:pt>
                  <c:pt idx="2">
                    <c:v>% of total cost </c:v>
                  </c:pt>
                  <c:pt idx="3">
                    <c:v>% of total cost </c:v>
                  </c:pt>
                </c:lvl>
              </c:multiLvlStrCache>
            </c:multiLvlStrRef>
          </c:cat>
          <c:val>
            <c:numRef>
              <c:extLst>
                <c:ext xmlns:c15="http://schemas.microsoft.com/office/drawing/2012/chart" uri="{02D57815-91ED-43cb-92C2-25804820EDAC}">
                  <c15:fullRef>
                    <c15:sqref>'MULTI-YEAR SUMMARY '!$B$8:$I$8</c15:sqref>
                  </c15:fullRef>
                </c:ext>
              </c:extLst>
              <c:f>('MULTI-YEAR SUMMARY '!$C$8,'MULTI-YEAR SUMMARY '!$E$8,'MULTI-YEAR SUMMARY '!$G$8,'MULTI-YEAR SUMMARY '!$I$8)</c:f>
              <c:numCache>
                <c:formatCode>0%</c:formatCode>
                <c:ptCount val="4"/>
                <c:pt idx="0">
                  <c:v>0.74617463964719755</c:v>
                </c:pt>
                <c:pt idx="1">
                  <c:v>0.7837124839852555</c:v>
                </c:pt>
                <c:pt idx="2">
                  <c:v>0.73720129092466147</c:v>
                </c:pt>
                <c:pt idx="3">
                  <c:v>0.5450231661681445</c:v>
                </c:pt>
              </c:numCache>
            </c:numRef>
          </c:val>
          <c:extLst>
            <c:ext xmlns:c16="http://schemas.microsoft.com/office/drawing/2014/chart" uri="{C3380CC4-5D6E-409C-BE32-E72D297353CC}">
              <c16:uniqueId val="{00000001-1498-40EF-9ACA-EB8FE408EAD2}"/>
            </c:ext>
          </c:extLst>
        </c:ser>
        <c:ser>
          <c:idx val="3"/>
          <c:order val="3"/>
          <c:tx>
            <c:strRef>
              <c:f>'MULTI-YEAR SUMMARY '!$A$10</c:f>
              <c:strCache>
                <c:ptCount val="1"/>
                <c:pt idx="0">
                  <c:v>Materials</c:v>
                </c:pt>
              </c:strCache>
            </c:strRef>
          </c:tx>
          <c:spPr>
            <a:solidFill>
              <a:srgbClr val="E59F5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'!$B$5:$I$6</c15:sqref>
                  </c15:fullRef>
                </c:ext>
              </c:extLst>
              <c:f>('MULTI-YEAR SUMMARY '!$C$5:$C$6,'MULTI-YEAR SUMMARY '!$E$5:$E$6,'MULTI-YEAR SUMMARY '!$G$5:$G$6,'MULTI-YEAR SUMMARY '!$I$5:$I$6)</c:f>
              <c:multiLvlStrCache>
                <c:ptCount val="4"/>
                <c:lvl>
                  <c:pt idx="0">
                    <c:v>YEAR 1</c:v>
                  </c:pt>
                  <c:pt idx="1">
                    <c:v>YEAR 2</c:v>
                  </c:pt>
                  <c:pt idx="2">
                    <c:v>YEAR 3</c:v>
                  </c:pt>
                  <c:pt idx="3">
                    <c:v>YEAR 4</c:v>
                  </c:pt>
                </c:lvl>
                <c:lvl>
                  <c:pt idx="0">
                    <c:v>% of total cost </c:v>
                  </c:pt>
                  <c:pt idx="1">
                    <c:v>% of total cost </c:v>
                  </c:pt>
                  <c:pt idx="2">
                    <c:v>% of total cost </c:v>
                  </c:pt>
                  <c:pt idx="3">
                    <c:v>% of total cost </c:v>
                  </c:pt>
                </c:lvl>
              </c:multiLvlStrCache>
            </c:multiLvlStrRef>
          </c:cat>
          <c:val>
            <c:numRef>
              <c:extLst>
                <c:ext xmlns:c15="http://schemas.microsoft.com/office/drawing/2012/chart" uri="{02D57815-91ED-43cb-92C2-25804820EDAC}">
                  <c15:fullRef>
                    <c15:sqref>'MULTI-YEAR SUMMARY '!$B$10:$I$10</c15:sqref>
                  </c15:fullRef>
                </c:ext>
              </c:extLst>
              <c:f>('MULTI-YEAR SUMMARY '!$C$10,'MULTI-YEAR SUMMARY '!$E$10,'MULTI-YEAR SUMMARY '!$G$10,'MULTI-YEAR SUMMARY '!$I$10)</c:f>
              <c:numCache>
                <c:formatCode>0%</c:formatCode>
                <c:ptCount val="4"/>
                <c:pt idx="0">
                  <c:v>0.15048222591328775</c:v>
                </c:pt>
                <c:pt idx="1">
                  <c:v>2.8754071668312963E-2</c:v>
                </c:pt>
                <c:pt idx="2">
                  <c:v>3.6428722708434759E-2</c:v>
                </c:pt>
                <c:pt idx="3">
                  <c:v>0.2858219630404969</c:v>
                </c:pt>
              </c:numCache>
            </c:numRef>
          </c:val>
          <c:extLst>
            <c:ext xmlns:c16="http://schemas.microsoft.com/office/drawing/2014/chart" uri="{C3380CC4-5D6E-409C-BE32-E72D297353CC}">
              <c16:uniqueId val="{00000003-1498-40EF-9ACA-EB8FE408EAD2}"/>
            </c:ext>
          </c:extLst>
        </c:ser>
        <c:ser>
          <c:idx val="4"/>
          <c:order val="4"/>
          <c:tx>
            <c:strRef>
              <c:f>'MULTI-YEAR SUMMARY '!$A$11</c:f>
              <c:strCache>
                <c:ptCount val="1"/>
                <c:pt idx="0">
                  <c:v>Instructional Coaching </c:v>
                </c:pt>
              </c:strCache>
            </c:strRef>
          </c:tx>
          <c:spPr>
            <a:solidFill>
              <a:srgbClr val="C4BFD7"/>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'!$B$5:$I$6</c15:sqref>
                  </c15:fullRef>
                </c:ext>
              </c:extLst>
              <c:f>('MULTI-YEAR SUMMARY '!$C$5:$C$6,'MULTI-YEAR SUMMARY '!$E$5:$E$6,'MULTI-YEAR SUMMARY '!$G$5:$G$6,'MULTI-YEAR SUMMARY '!$I$5:$I$6)</c:f>
              <c:multiLvlStrCache>
                <c:ptCount val="4"/>
                <c:lvl>
                  <c:pt idx="0">
                    <c:v>YEAR 1</c:v>
                  </c:pt>
                  <c:pt idx="1">
                    <c:v>YEAR 2</c:v>
                  </c:pt>
                  <c:pt idx="2">
                    <c:v>YEAR 3</c:v>
                  </c:pt>
                  <c:pt idx="3">
                    <c:v>YEAR 4</c:v>
                  </c:pt>
                </c:lvl>
                <c:lvl>
                  <c:pt idx="0">
                    <c:v>% of total cost </c:v>
                  </c:pt>
                  <c:pt idx="1">
                    <c:v>% of total cost </c:v>
                  </c:pt>
                  <c:pt idx="2">
                    <c:v>% of total cost </c:v>
                  </c:pt>
                  <c:pt idx="3">
                    <c:v>% of total cost </c:v>
                  </c:pt>
                </c:lvl>
              </c:multiLvlStrCache>
            </c:multiLvlStrRef>
          </c:cat>
          <c:val>
            <c:numRef>
              <c:extLst>
                <c:ext xmlns:c15="http://schemas.microsoft.com/office/drawing/2012/chart" uri="{02D57815-91ED-43cb-92C2-25804820EDAC}">
                  <c15:fullRef>
                    <c15:sqref>'MULTI-YEAR SUMMARY '!$B$11:$I$11</c15:sqref>
                  </c15:fullRef>
                </c:ext>
              </c:extLst>
              <c:f>('MULTI-YEAR SUMMARY '!$C$11,'MULTI-YEAR SUMMARY '!$E$11,'MULTI-YEAR SUMMARY '!$G$11,'MULTI-YEAR SUMMARY '!$I$11)</c:f>
              <c:numCache>
                <c:formatCode>0%</c:formatCode>
                <c:ptCount val="4"/>
                <c:pt idx="0">
                  <c:v>0.10334313443951468</c:v>
                </c:pt>
                <c:pt idx="1">
                  <c:v>0.18753344434643157</c:v>
                </c:pt>
                <c:pt idx="2">
                  <c:v>0.22636998636690381</c:v>
                </c:pt>
                <c:pt idx="3">
                  <c:v>0.16915487079135846</c:v>
                </c:pt>
              </c:numCache>
            </c:numRef>
          </c:val>
          <c:extLst>
            <c:ext xmlns:c16="http://schemas.microsoft.com/office/drawing/2014/chart" uri="{C3380CC4-5D6E-409C-BE32-E72D297353CC}">
              <c16:uniqueId val="{00000004-1498-40EF-9ACA-EB8FE408EAD2}"/>
            </c:ext>
          </c:extLst>
        </c:ser>
        <c:dLbls>
          <c:dLblPos val="ctr"/>
          <c:showLegendKey val="0"/>
          <c:showVal val="1"/>
          <c:showCatName val="0"/>
          <c:showSerName val="0"/>
          <c:showPercent val="0"/>
          <c:showBubbleSize val="0"/>
        </c:dLbls>
        <c:gapWidth val="150"/>
        <c:overlap val="100"/>
        <c:axId val="1757428799"/>
        <c:axId val="1757445599"/>
        <c:extLst>
          <c:ext xmlns:c15="http://schemas.microsoft.com/office/drawing/2012/chart" uri="{02D57815-91ED-43cb-92C2-25804820EDAC}">
            <c15:filteredBarSeries>
              <c15:ser>
                <c:idx val="0"/>
                <c:order val="0"/>
                <c:tx>
                  <c:strRef>
                    <c:extLst>
                      <c:ext uri="{02D57815-91ED-43cb-92C2-25804820EDAC}">
                        <c15:formulaRef>
                          <c15:sqref>'MULTI-YEAR SUMMARY '!$A$7</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uri="{02D57815-91ED-43cb-92C2-25804820EDAC}">
                        <c15:fullRef>
                          <c15:sqref>'MULTI-YEAR SUMMARY '!$B$5:$I$6</c15:sqref>
                        </c15:fullRef>
                        <c15:formulaRef>
                          <c15:sqref>('MULTI-YEAR SUMMARY '!$C$5:$C$6,'MULTI-YEAR SUMMARY '!$E$5:$E$6,'MULTI-YEAR SUMMARY '!$G$5:$G$6,'MULTI-YEAR SUMMARY '!$I$5:$I$6)</c15:sqref>
                        </c15:formulaRef>
                      </c:ext>
                    </c:extLst>
                    <c:multiLvlStrCache>
                      <c:ptCount val="4"/>
                      <c:lvl>
                        <c:pt idx="0">
                          <c:v>YEAR 1</c:v>
                        </c:pt>
                        <c:pt idx="1">
                          <c:v>YEAR 2</c:v>
                        </c:pt>
                        <c:pt idx="2">
                          <c:v>YEAR 3</c:v>
                        </c:pt>
                        <c:pt idx="3">
                          <c:v>YEAR 4</c:v>
                        </c:pt>
                      </c:lvl>
                      <c:lvl>
                        <c:pt idx="0">
                          <c:v>% of total cost </c:v>
                        </c:pt>
                        <c:pt idx="1">
                          <c:v>% of total cost </c:v>
                        </c:pt>
                        <c:pt idx="2">
                          <c:v>% of total cost </c:v>
                        </c:pt>
                        <c:pt idx="3">
                          <c:v>% of total cost </c:v>
                        </c:pt>
                      </c:lvl>
                    </c:multiLvlStrCache>
                  </c:multiLvlStrRef>
                </c:cat>
                <c:val>
                  <c:numRef>
                    <c:extLst>
                      <c:ext uri="{02D57815-91ED-43cb-92C2-25804820EDAC}">
                        <c15:fullRef>
                          <c15:sqref>'MULTI-YEAR SUMMARY '!$B$7:$I$7</c15:sqref>
                        </c15:fullRef>
                        <c15:formulaRef>
                          <c15:sqref>('MULTI-YEAR SUMMARY '!$C$7,'MULTI-YEAR SUMMARY '!$E$7,'MULTI-YEAR SUMMARY '!$G$7,'MULTI-YEAR SUMMARY '!$I$7)</c15:sqref>
                        </c15:formulaRef>
                      </c:ext>
                    </c:extLst>
                    <c:numCache>
                      <c:formatCode>General</c:formatCode>
                      <c:ptCount val="4"/>
                    </c:numCache>
                  </c:numRef>
                </c:val>
                <c:extLst>
                  <c:ext xmlns:c16="http://schemas.microsoft.com/office/drawing/2014/chart" uri="{C3380CC4-5D6E-409C-BE32-E72D297353CC}">
                    <c16:uniqueId val="{00000000-1498-40EF-9ACA-EB8FE408EAD2}"/>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'MULTI-YEAR SUMMARY '!$A$9</c15:sqref>
                        </c15:formulaRef>
                      </c:ext>
                    </c:extLst>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'!$B$5:$I$6</c15:sqref>
                        </c15:fullRef>
                        <c15:formulaRef>
                          <c15:sqref>('MULTI-YEAR SUMMARY '!$C$5:$C$6,'MULTI-YEAR SUMMARY '!$E$5:$E$6,'MULTI-YEAR SUMMARY '!$G$5:$G$6,'MULTI-YEAR SUMMARY '!$I$5:$I$6)</c15:sqref>
                        </c15:formulaRef>
                      </c:ext>
                    </c:extLst>
                    <c:multiLvlStrCache>
                      <c:ptCount val="4"/>
                      <c:lvl>
                        <c:pt idx="0">
                          <c:v>YEAR 1</c:v>
                        </c:pt>
                        <c:pt idx="1">
                          <c:v>YEAR 2</c:v>
                        </c:pt>
                        <c:pt idx="2">
                          <c:v>YEAR 3</c:v>
                        </c:pt>
                        <c:pt idx="3">
                          <c:v>YEAR 4</c:v>
                        </c:pt>
                      </c:lvl>
                      <c:lvl>
                        <c:pt idx="0">
                          <c:v>% of total cost </c:v>
                        </c:pt>
                        <c:pt idx="1">
                          <c:v>% of total cost </c:v>
                        </c:pt>
                        <c:pt idx="2">
                          <c:v>% of total cost </c:v>
                        </c:pt>
                        <c:pt idx="3">
                          <c:v>% of total cost </c:v>
                        </c:pt>
                      </c:lvl>
                    </c:multiLvlStrCache>
                  </c:multiLvlStrRef>
                </c:cat>
                <c:val>
                  <c:numRef>
                    <c:extLst>
                      <c:ext xmlns:c15="http://schemas.microsoft.com/office/drawing/2012/chart" uri="{02D57815-91ED-43cb-92C2-25804820EDAC}">
                        <c15:fullRef>
                          <c15:sqref>'MULTI-YEAR SUMMARY '!$B$9:$I$9</c15:sqref>
                        </c15:fullRef>
                        <c15:formulaRef>
                          <c15:sqref>('MULTI-YEAR SUMMARY '!$C$9,'MULTI-YEAR SUMMARY '!$E$9,'MULTI-YEAR SUMMARY '!$G$9,'MULTI-YEAR SUMMARY '!$I$9)</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02-1498-40EF-9ACA-EB8FE408EAD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'MULTI-YEAR SUMMARY '!$A$12</c15:sqref>
                        </c15:formulaRef>
                      </c:ext>
                    </c:extLst>
                    <c:strCache>
                      <c:ptCount val="1"/>
                      <c:pt idx="0">
                        <c:v>TOTAL</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'MULTI-YEAR SUMMARY '!$B$5:$I$6</c15:sqref>
                        </c15:fullRef>
                        <c15:formulaRef>
                          <c15:sqref>('MULTI-YEAR SUMMARY '!$C$5:$C$6,'MULTI-YEAR SUMMARY '!$E$5:$E$6,'MULTI-YEAR SUMMARY '!$G$5:$G$6,'MULTI-YEAR SUMMARY '!$I$5:$I$6)</c15:sqref>
                        </c15:formulaRef>
                      </c:ext>
                    </c:extLst>
                    <c:multiLvlStrCache>
                      <c:ptCount val="4"/>
                      <c:lvl>
                        <c:pt idx="0">
                          <c:v>YEAR 1</c:v>
                        </c:pt>
                        <c:pt idx="1">
                          <c:v>YEAR 2</c:v>
                        </c:pt>
                        <c:pt idx="2">
                          <c:v>YEAR 3</c:v>
                        </c:pt>
                        <c:pt idx="3">
                          <c:v>YEAR 4</c:v>
                        </c:pt>
                      </c:lvl>
                      <c:lvl>
                        <c:pt idx="0">
                          <c:v>% of total cost </c:v>
                        </c:pt>
                        <c:pt idx="1">
                          <c:v>% of total cost </c:v>
                        </c:pt>
                        <c:pt idx="2">
                          <c:v>% of total cost </c:v>
                        </c:pt>
                        <c:pt idx="3">
                          <c:v>% of total cost </c:v>
                        </c:pt>
                      </c:lvl>
                    </c:multiLvlStrCache>
                  </c:multiLvlStrRef>
                </c:cat>
                <c:val>
                  <c:numRef>
                    <c:extLst>
                      <c:ext xmlns:c15="http://schemas.microsoft.com/office/drawing/2012/chart" uri="{02D57815-91ED-43cb-92C2-25804820EDAC}">
                        <c15:fullRef>
                          <c15:sqref>'MULTI-YEAR SUMMARY '!$B$12:$I$12</c15:sqref>
                        </c15:fullRef>
                        <c15:formulaRef>
                          <c15:sqref>('MULTI-YEAR SUMMARY '!$C$12,'MULTI-YEAR SUMMARY '!$E$12,'MULTI-YEAR SUMMARY '!$G$12,'MULTI-YEAR SUMMARY '!$I$12)</c15:sqref>
                        </c15:formulaRef>
                      </c:ext>
                    </c:extLst>
                    <c:numCache>
                      <c:formatCode>0%</c:formatCode>
                      <c:ptCount val="4"/>
                      <c:pt idx="0">
                        <c:v>1</c:v>
                      </c:pt>
                      <c:pt idx="1">
                        <c:v>1</c:v>
                      </c:pt>
                      <c:pt idx="2">
                        <c:v>1</c:v>
                      </c:pt>
                      <c:pt idx="3">
                        <c:v>0.99999999999999989</c:v>
                      </c:pt>
                    </c:numCache>
                  </c:numRef>
                </c:val>
                <c:extLst xmlns:c15="http://schemas.microsoft.com/office/drawing/2012/chart">
                  <c:ext xmlns:c16="http://schemas.microsoft.com/office/drawing/2014/chart" uri="{C3380CC4-5D6E-409C-BE32-E72D297353CC}">
                    <c16:uniqueId val="{00000005-1498-40EF-9ACA-EB8FE408EAD2}"/>
                  </c:ext>
                </c:extLst>
              </c15:ser>
            </c15:filteredBarSeries>
          </c:ext>
        </c:extLst>
      </c:barChart>
      <c:catAx>
        <c:axId val="17574287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1757445599"/>
        <c:crosses val="autoZero"/>
        <c:auto val="1"/>
        <c:lblAlgn val="ctr"/>
        <c:lblOffset val="100"/>
        <c:noMultiLvlLbl val="0"/>
      </c:catAx>
      <c:valAx>
        <c:axId val="1757445599"/>
        <c:scaling>
          <c:orientation val="minMax"/>
          <c:max val="1"/>
        </c:scaling>
        <c:delete val="0"/>
        <c:axPos val="l"/>
        <c:title>
          <c:tx>
            <c:rich>
              <a:bodyPr rot="-54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r>
                  <a:rPr lang="en-US" sz="1100">
                    <a:solidFill>
                      <a:sysClr val="windowText" lastClr="000000"/>
                    </a:solidFill>
                  </a:rPr>
                  <a:t>Percentage of Total Cost</a:t>
                </a:r>
              </a:p>
            </c:rich>
          </c:tx>
          <c:layout>
            <c:manualLayout>
              <c:xMode val="edge"/>
              <c:yMode val="edge"/>
              <c:x val="1.3394214482807042E-2"/>
              <c:y val="0.2437961818617680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175742879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r>
              <a:rPr lang="en-US" sz="1600">
                <a:solidFill>
                  <a:sysClr val="windowText" lastClr="000000"/>
                </a:solidFill>
              </a:rPr>
              <a:t>Cost</a:t>
            </a:r>
            <a:r>
              <a:rPr lang="en-US" sz="1600" baseline="0">
                <a:solidFill>
                  <a:sysClr val="windowText" lastClr="000000"/>
                </a:solidFill>
              </a:rPr>
              <a:t> estimate by expense type</a:t>
            </a:r>
            <a:endParaRPr lang="en-US" sz="1600">
              <a:solidFill>
                <a:sysClr val="windowText" lastClr="000000"/>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'MULTI-YEAR SUMMARY '!$A$60</c:f>
              <c:strCache>
                <c:ptCount val="1"/>
                <c:pt idx="0">
                  <c:v>Facilities</c:v>
                </c:pt>
              </c:strCache>
            </c:strRef>
          </c:tx>
          <c:spPr>
            <a:solidFill>
              <a:srgbClr val="E59F5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'MULTI-YEAR SUMMARY '!$B$59:$E$59</c:f>
              <c:strCache>
                <c:ptCount val="4"/>
                <c:pt idx="0">
                  <c:v>YEAR 1</c:v>
                </c:pt>
                <c:pt idx="1">
                  <c:v>YEAR 2</c:v>
                </c:pt>
                <c:pt idx="2">
                  <c:v>YEAR 3</c:v>
                </c:pt>
                <c:pt idx="3">
                  <c:v>YEAR 4</c:v>
                </c:pt>
              </c:strCache>
            </c:strRef>
          </c:cat>
          <c:val>
            <c:numRef>
              <c:f>'MULTI-YEAR SUMMARY '!$B$60:$E$60</c:f>
              <c:numCache>
                <c:formatCode>0.0%</c:formatCode>
                <c:ptCount val="4"/>
                <c:pt idx="0">
                  <c:v>8.303307287448404E-2</c:v>
                </c:pt>
                <c:pt idx="1">
                  <c:v>0.10491979225250121</c:v>
                </c:pt>
                <c:pt idx="2">
                  <c:v>9.6612745176576989E-2</c:v>
                </c:pt>
                <c:pt idx="3">
                  <c:v>7.5802944566889074E-2</c:v>
                </c:pt>
              </c:numCache>
            </c:numRef>
          </c:val>
          <c:extLst>
            <c:ext xmlns:c16="http://schemas.microsoft.com/office/drawing/2014/chart" uri="{C3380CC4-5D6E-409C-BE32-E72D297353CC}">
              <c16:uniqueId val="{00000000-2DF6-4F88-8B82-A9D4A5B3EF56}"/>
            </c:ext>
          </c:extLst>
        </c:ser>
        <c:ser>
          <c:idx val="1"/>
          <c:order val="1"/>
          <c:tx>
            <c:strRef>
              <c:f>'MULTI-YEAR SUMMARY '!$A$61</c:f>
              <c:strCache>
                <c:ptCount val="1"/>
                <c:pt idx="0">
                  <c:v>Materials </c:v>
                </c:pt>
              </c:strCache>
            </c:strRef>
          </c:tx>
          <c:spPr>
            <a:solidFill>
              <a:srgbClr val="D777AE"/>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'MULTI-YEAR SUMMARY '!$B$59:$E$59</c:f>
              <c:strCache>
                <c:ptCount val="4"/>
                <c:pt idx="0">
                  <c:v>YEAR 1</c:v>
                </c:pt>
                <c:pt idx="1">
                  <c:v>YEAR 2</c:v>
                </c:pt>
                <c:pt idx="2">
                  <c:v>YEAR 3</c:v>
                </c:pt>
                <c:pt idx="3">
                  <c:v>YEAR 4</c:v>
                </c:pt>
              </c:strCache>
            </c:strRef>
          </c:cat>
          <c:val>
            <c:numRef>
              <c:f>'MULTI-YEAR SUMMARY '!$B$61:$E$61</c:f>
              <c:numCache>
                <c:formatCode>0.0%</c:formatCode>
                <c:ptCount val="4"/>
                <c:pt idx="0">
                  <c:v>0.16421847725345021</c:v>
                </c:pt>
                <c:pt idx="1">
                  <c:v>5.1533996407481297E-2</c:v>
                </c:pt>
                <c:pt idx="2">
                  <c:v>6.5288759339583072E-2</c:v>
                </c:pt>
                <c:pt idx="3">
                  <c:v>0.30846572244254011</c:v>
                </c:pt>
              </c:numCache>
            </c:numRef>
          </c:val>
          <c:extLst>
            <c:ext xmlns:c16="http://schemas.microsoft.com/office/drawing/2014/chart" uri="{C3380CC4-5D6E-409C-BE32-E72D297353CC}">
              <c16:uniqueId val="{00000001-2DF6-4F88-8B82-A9D4A5B3EF56}"/>
            </c:ext>
          </c:extLst>
        </c:ser>
        <c:ser>
          <c:idx val="2"/>
          <c:order val="2"/>
          <c:tx>
            <c:strRef>
              <c:f>'MULTI-YEAR SUMMARY '!$A$62</c:f>
              <c:strCache>
                <c:ptCount val="1"/>
                <c:pt idx="0">
                  <c:v>Meals/Per Diem</c:v>
                </c:pt>
              </c:strCache>
            </c:strRef>
          </c:tx>
          <c:spPr>
            <a:solidFill>
              <a:srgbClr val="BC378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'MULTI-YEAR SUMMARY '!$B$59:$E$59</c:f>
              <c:strCache>
                <c:ptCount val="4"/>
                <c:pt idx="0">
                  <c:v>YEAR 1</c:v>
                </c:pt>
                <c:pt idx="1">
                  <c:v>YEAR 2</c:v>
                </c:pt>
                <c:pt idx="2">
                  <c:v>YEAR 3</c:v>
                </c:pt>
                <c:pt idx="3">
                  <c:v>YEAR 4</c:v>
                </c:pt>
              </c:strCache>
            </c:strRef>
          </c:cat>
          <c:val>
            <c:numRef>
              <c:f>'MULTI-YEAR SUMMARY '!$B$62:$E$62</c:f>
              <c:numCache>
                <c:formatCode>0.0%</c:formatCode>
                <c:ptCount val="4"/>
                <c:pt idx="0">
                  <c:v>0.29312987962793469</c:v>
                </c:pt>
                <c:pt idx="1">
                  <c:v>0.321032675160426</c:v>
                </c:pt>
                <c:pt idx="2">
                  <c:v>0.31342151555592718</c:v>
                </c:pt>
                <c:pt idx="3">
                  <c:v>0.23026344588503919</c:v>
                </c:pt>
              </c:numCache>
            </c:numRef>
          </c:val>
          <c:extLst>
            <c:ext xmlns:c16="http://schemas.microsoft.com/office/drawing/2014/chart" uri="{C3380CC4-5D6E-409C-BE32-E72D297353CC}">
              <c16:uniqueId val="{00000002-2DF6-4F88-8B82-A9D4A5B3EF56}"/>
            </c:ext>
          </c:extLst>
        </c:ser>
        <c:ser>
          <c:idx val="3"/>
          <c:order val="3"/>
          <c:tx>
            <c:strRef>
              <c:f>'MULTI-YEAR SUMMARY '!$A$63</c:f>
              <c:strCache>
                <c:ptCount val="1"/>
                <c:pt idx="0">
                  <c:v>Transportation</c:v>
                </c:pt>
              </c:strCache>
            </c:strRef>
          </c:tx>
          <c:spPr>
            <a:solidFill>
              <a:srgbClr val="50477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'MULTI-YEAR SUMMARY '!$B$59:$E$59</c:f>
              <c:strCache>
                <c:ptCount val="4"/>
                <c:pt idx="0">
                  <c:v>YEAR 1</c:v>
                </c:pt>
                <c:pt idx="1">
                  <c:v>YEAR 2</c:v>
                </c:pt>
                <c:pt idx="2">
                  <c:v>YEAR 3</c:v>
                </c:pt>
                <c:pt idx="3">
                  <c:v>YEAR 4</c:v>
                </c:pt>
              </c:strCache>
            </c:strRef>
          </c:cat>
          <c:val>
            <c:numRef>
              <c:f>'MULTI-YEAR SUMMARY '!$B$63:$E$63</c:f>
              <c:numCache>
                <c:formatCode>0.0%</c:formatCode>
                <c:ptCount val="4"/>
                <c:pt idx="0">
                  <c:v>0.459618570244131</c:v>
                </c:pt>
                <c:pt idx="1">
                  <c:v>0.52251353617959151</c:v>
                </c:pt>
                <c:pt idx="2">
                  <c:v>0.52467697992791262</c:v>
                </c:pt>
                <c:pt idx="3">
                  <c:v>0.38546788710553143</c:v>
                </c:pt>
              </c:numCache>
            </c:numRef>
          </c:val>
          <c:extLst>
            <c:ext xmlns:c16="http://schemas.microsoft.com/office/drawing/2014/chart" uri="{C3380CC4-5D6E-409C-BE32-E72D297353CC}">
              <c16:uniqueId val="{00000003-2DF6-4F88-8B82-A9D4A5B3EF56}"/>
            </c:ext>
          </c:extLst>
        </c:ser>
        <c:dLbls>
          <c:dLblPos val="ctr"/>
          <c:showLegendKey val="0"/>
          <c:showVal val="1"/>
          <c:showCatName val="0"/>
          <c:showSerName val="0"/>
          <c:showPercent val="0"/>
          <c:showBubbleSize val="0"/>
        </c:dLbls>
        <c:gapWidth val="150"/>
        <c:overlap val="100"/>
        <c:axId val="1172696864"/>
        <c:axId val="1172693504"/>
      </c:barChart>
      <c:catAx>
        <c:axId val="1172696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172693504"/>
        <c:crosses val="autoZero"/>
        <c:auto val="1"/>
        <c:lblAlgn val="ctr"/>
        <c:lblOffset val="100"/>
        <c:noMultiLvlLbl val="0"/>
      </c:catAx>
      <c:valAx>
        <c:axId val="1172693504"/>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11726968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Instructional</a:t>
            </a:r>
            <a:r>
              <a:rPr lang="en-US" baseline="0"/>
              <a:t> Coaching incremental cost per student (USD), year 1</a:t>
            </a:r>
            <a:endParaRPr lang="en-US"/>
          </a:p>
        </c:rich>
      </c:tx>
      <c:layout>
        <c:manualLayout>
          <c:xMode val="edge"/>
          <c:yMode val="edge"/>
          <c:x val="0.12127891483853143"/>
          <c:y val="5.580029368575624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1"/>
          <c:tx>
            <c:strRef>
              <c:f>'Instructional Coaching'!$A$3</c:f>
              <c:strCache>
                <c:ptCount val="1"/>
                <c:pt idx="0">
                  <c:v>Training</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'Instructional Coaching'!$B$1:$D$1</c15:sqref>
                  </c15:fullRef>
                </c:ext>
              </c:extLst>
              <c:f>'Instructional Coaching'!$D$1</c:f>
              <c:strCache>
                <c:ptCount val="1"/>
                <c:pt idx="0">
                  <c:v>Marginal Incremental Cost Per Student</c:v>
                </c:pt>
              </c:strCache>
            </c:strRef>
          </c:cat>
          <c:val>
            <c:numRef>
              <c:extLst>
                <c:ext xmlns:c15="http://schemas.microsoft.com/office/drawing/2012/chart" uri="{02D57815-91ED-43cb-92C2-25804820EDAC}">
                  <c15:fullRef>
                    <c15:sqref>'Instructional Coaching'!$B$3:$D$3</c15:sqref>
                  </c15:fullRef>
                </c:ext>
              </c:extLst>
              <c:f>'Instructional Coaching'!$D$3</c:f>
              <c:numCache>
                <c:formatCode>0%</c:formatCode>
                <c:ptCount val="1"/>
                <c:pt idx="0" formatCode="_(* #,##0.00_);_(* \(#,##0.00\);_(* &quot;-&quot;??_);_(@_)">
                  <c:v>0.18334</c:v>
                </c:pt>
              </c:numCache>
            </c:numRef>
          </c:val>
          <c:extLst>
            <c:ext xmlns:c16="http://schemas.microsoft.com/office/drawing/2014/chart" uri="{C3380CC4-5D6E-409C-BE32-E72D297353CC}">
              <c16:uniqueId val="{00000001-0138-4196-AE51-68006866D2F3}"/>
            </c:ext>
          </c:extLst>
        </c:ser>
        <c:ser>
          <c:idx val="4"/>
          <c:order val="4"/>
          <c:tx>
            <c:strRef>
              <c:f>'Instructional Coaching'!$A$6</c:f>
              <c:strCache>
                <c:ptCount val="1"/>
                <c:pt idx="0">
                  <c:v>Delivery</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'Instructional Coaching'!$B$1:$D$1</c15:sqref>
                  </c15:fullRef>
                </c:ext>
              </c:extLst>
              <c:f>'Instructional Coaching'!$D$1</c:f>
              <c:strCache>
                <c:ptCount val="1"/>
                <c:pt idx="0">
                  <c:v>Marginal Incremental Cost Per Student</c:v>
                </c:pt>
              </c:strCache>
            </c:strRef>
          </c:cat>
          <c:val>
            <c:numRef>
              <c:extLst>
                <c:ext xmlns:c15="http://schemas.microsoft.com/office/drawing/2012/chart" uri="{02D57815-91ED-43cb-92C2-25804820EDAC}">
                  <c15:fullRef>
                    <c15:sqref>'Instructional Coaching'!$B$6:$D$6</c15:sqref>
                  </c15:fullRef>
                </c:ext>
              </c:extLst>
              <c:f>'Instructional Coaching'!$D$6</c:f>
              <c:numCache>
                <c:formatCode>0%</c:formatCode>
                <c:ptCount val="1"/>
                <c:pt idx="0" formatCode="_(* #,##0.00_);_(* \(#,##0.00\);_(* &quot;-&quot;??_);_(@_)">
                  <c:v>0.48710884353741501</c:v>
                </c:pt>
              </c:numCache>
            </c:numRef>
          </c:val>
          <c:extLst>
            <c:ext xmlns:c16="http://schemas.microsoft.com/office/drawing/2014/chart" uri="{C3380CC4-5D6E-409C-BE32-E72D297353CC}">
              <c16:uniqueId val="{00000004-0138-4196-AE51-68006866D2F3}"/>
            </c:ext>
          </c:extLst>
        </c:ser>
        <c:dLbls>
          <c:showLegendKey val="0"/>
          <c:showVal val="1"/>
          <c:showCatName val="0"/>
          <c:showSerName val="0"/>
          <c:showPercent val="0"/>
          <c:showBubbleSize val="0"/>
        </c:dLbls>
        <c:gapWidth val="150"/>
        <c:overlap val="100"/>
        <c:axId val="870077743"/>
        <c:axId val="870074863"/>
        <c:extLst>
          <c:ext xmlns:c15="http://schemas.microsoft.com/office/drawing/2012/chart" uri="{02D57815-91ED-43cb-92C2-25804820EDAC}">
            <c15:filteredBarSeries>
              <c15:ser>
                <c:idx val="0"/>
                <c:order val="0"/>
                <c:tx>
                  <c:strRef>
                    <c:extLst>
                      <c:ext uri="{02D57815-91ED-43cb-92C2-25804820EDAC}">
                        <c15:formulaRef>
                          <c15:sqref>'Instructional Coaching'!$A$2</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'Instructional Coaching'!$B$1:$D$1</c15:sqref>
                        </c15:fullRef>
                        <c15:formulaRef>
                          <c15:sqref>'Instructional Coaching'!$D$1</c15:sqref>
                        </c15:formulaRef>
                      </c:ext>
                    </c:extLst>
                    <c:strCache>
                      <c:ptCount val="1"/>
                      <c:pt idx="0">
                        <c:v>Marginal Incremental Cost Per Student</c:v>
                      </c:pt>
                    </c:strCache>
                  </c:strRef>
                </c:cat>
                <c:val>
                  <c:numRef>
                    <c:extLst>
                      <c:ext uri="{02D57815-91ED-43cb-92C2-25804820EDAC}">
                        <c15:fullRef>
                          <c15:sqref>'Instructional Coaching'!$B$2:$D$2</c15:sqref>
                        </c15:fullRef>
                        <c15:formulaRef>
                          <c15:sqref>'Instructional Coaching'!$D$2</c15:sqref>
                        </c15:formulaRef>
                      </c:ext>
                    </c:extLst>
                    <c:numCache>
                      <c:formatCode>General</c:formatCode>
                      <c:ptCount val="1"/>
                    </c:numCache>
                  </c:numRef>
                </c:val>
                <c:extLst>
                  <c:ext xmlns:c16="http://schemas.microsoft.com/office/drawing/2014/chart" uri="{C3380CC4-5D6E-409C-BE32-E72D297353CC}">
                    <c16:uniqueId val="{00000000-0138-4196-AE51-68006866D2F3}"/>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'Instructional Coaching'!$A$4</c15:sqref>
                        </c15:formulaRef>
                      </c:ext>
                    </c:extLst>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'Instructional Coaching'!$B$1:$D$1</c15:sqref>
                        </c15:fullRef>
                        <c15:formulaRef>
                          <c15:sqref>'Instructional Coaching'!$D$1</c15:sqref>
                        </c15:formulaRef>
                      </c:ext>
                    </c:extLst>
                    <c:strCache>
                      <c:ptCount val="1"/>
                      <c:pt idx="0">
                        <c:v>Marginal Incremental Cost Per Student</c:v>
                      </c:pt>
                    </c:strCache>
                  </c:strRef>
                </c:cat>
                <c:val>
                  <c:numRef>
                    <c:extLst>
                      <c:ext xmlns:c15="http://schemas.microsoft.com/office/drawing/2012/chart" uri="{02D57815-91ED-43cb-92C2-25804820EDAC}">
                        <c15:fullRef>
                          <c15:sqref>'Instructional Coaching'!$B$4:$D$4</c15:sqref>
                        </c15:fullRef>
                        <c15:formulaRef>
                          <c15:sqref>'Instructional Coaching'!$D$4</c15:sqref>
                        </c15:formulaRef>
                      </c:ext>
                    </c:extLst>
                    <c:numCache>
                      <c:formatCode>_(* #,##0_);_(* \(#,##0\);_(* "-"??_);_(@_)</c:formatCode>
                      <c:ptCount val="1"/>
                    </c:numCache>
                  </c:numRef>
                </c:val>
                <c:extLst xmlns:c15="http://schemas.microsoft.com/office/drawing/2012/chart">
                  <c:ext xmlns:c16="http://schemas.microsoft.com/office/drawing/2014/chart" uri="{C3380CC4-5D6E-409C-BE32-E72D297353CC}">
                    <c16:uniqueId val="{00000002-0138-4196-AE51-68006866D2F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'Instructional Coaching'!$A$5</c15:sqref>
                        </c15:formulaRef>
                      </c:ext>
                    </c:extLst>
                    <c:strCache>
                      <c:ptCount val="1"/>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'Instructional Coaching'!$B$1:$D$1</c15:sqref>
                        </c15:fullRef>
                        <c15:formulaRef>
                          <c15:sqref>'Instructional Coaching'!$D$1</c15:sqref>
                        </c15:formulaRef>
                      </c:ext>
                    </c:extLst>
                    <c:strCache>
                      <c:ptCount val="1"/>
                      <c:pt idx="0">
                        <c:v>Marginal Incremental Cost Per Student</c:v>
                      </c:pt>
                    </c:strCache>
                  </c:strRef>
                </c:cat>
                <c:val>
                  <c:numRef>
                    <c:extLst>
                      <c:ext xmlns:c15="http://schemas.microsoft.com/office/drawing/2012/chart" uri="{02D57815-91ED-43cb-92C2-25804820EDAC}">
                        <c15:fullRef>
                          <c15:sqref>'Instructional Coaching'!$B$5:$D$5</c15:sqref>
                        </c15:fullRef>
                        <c15:formulaRef>
                          <c15:sqref>'Instructional Coaching'!$D$5</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3-0138-4196-AE51-68006866D2F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'Instructional Coaching'!$A$7</c15:sqref>
                        </c15:formulaRef>
                      </c:ext>
                    </c:extLst>
                    <c:strCache>
                      <c:ptCount val="1"/>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'Instructional Coaching'!$B$1:$D$1</c15:sqref>
                        </c15:fullRef>
                        <c15:formulaRef>
                          <c15:sqref>'Instructional Coaching'!$D$1</c15:sqref>
                        </c15:formulaRef>
                      </c:ext>
                    </c:extLst>
                    <c:strCache>
                      <c:ptCount val="1"/>
                      <c:pt idx="0">
                        <c:v>Marginal Incremental Cost Per Student</c:v>
                      </c:pt>
                    </c:strCache>
                  </c:strRef>
                </c:cat>
                <c:val>
                  <c:numRef>
                    <c:extLst>
                      <c:ext xmlns:c15="http://schemas.microsoft.com/office/drawing/2012/chart" uri="{02D57815-91ED-43cb-92C2-25804820EDAC}">
                        <c15:fullRef>
                          <c15:sqref>'Instructional Coaching'!$B$7:$D$7</c15:sqref>
                        </c15:fullRef>
                        <c15:formulaRef>
                          <c15:sqref>'Instructional Coaching'!$D$7</c15:sqref>
                        </c15:formulaRef>
                      </c:ext>
                    </c:extLst>
                    <c:numCache>
                      <c:formatCode>_(* #,##0_);_(* \(#,##0\);_(* "-"??_);_(@_)</c:formatCode>
                      <c:ptCount val="1"/>
                    </c:numCache>
                  </c:numRef>
                </c:val>
                <c:extLst xmlns:c15="http://schemas.microsoft.com/office/drawing/2012/chart">
                  <c:ext xmlns:c16="http://schemas.microsoft.com/office/drawing/2014/chart" uri="{C3380CC4-5D6E-409C-BE32-E72D297353CC}">
                    <c16:uniqueId val="{00000005-0138-4196-AE51-68006866D2F3}"/>
                  </c:ext>
                </c:extLst>
              </c15:ser>
            </c15:filteredBarSeries>
          </c:ext>
        </c:extLst>
      </c:barChart>
      <c:lineChart>
        <c:grouping val="standard"/>
        <c:varyColors val="0"/>
        <c:ser>
          <c:idx val="6"/>
          <c:order val="6"/>
          <c:tx>
            <c:strRef>
              <c:f>'Instructional Coaching'!$A$8</c:f>
              <c:strCache>
                <c:ptCount val="1"/>
                <c:pt idx="0">
                  <c:v>Total </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dLbls>
            <c:dLbl>
              <c:idx val="0"/>
              <c:layout>
                <c:manualLayout>
                  <c:x val="4.5274476513865305E-2"/>
                  <c:y val="-4.69897209985315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138-4196-AE51-68006866D2F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'Instructional Coaching'!$B$1:$D$1</c15:sqref>
                  </c15:fullRef>
                </c:ext>
              </c:extLst>
              <c:f>'Instructional Coaching'!$D$1</c:f>
              <c:strCache>
                <c:ptCount val="1"/>
                <c:pt idx="0">
                  <c:v>Marginal Incremental Cost Per Student</c:v>
                </c:pt>
              </c:strCache>
            </c:strRef>
          </c:cat>
          <c:val>
            <c:numRef>
              <c:extLst>
                <c:ext xmlns:c15="http://schemas.microsoft.com/office/drawing/2012/chart" uri="{02D57815-91ED-43cb-92C2-25804820EDAC}">
                  <c15:fullRef>
                    <c15:sqref>'Instructional Coaching'!$B$8:$D$8</c15:sqref>
                  </c15:fullRef>
                </c:ext>
              </c:extLst>
              <c:f>'Instructional Coaching'!$D$8</c:f>
              <c:numCache>
                <c:formatCode>_(* #,##0_);_(* \(#,##0\);_(* "-"??_);_(@_)</c:formatCode>
                <c:ptCount val="1"/>
                <c:pt idx="0" formatCode="_(* #,##0.00_);_(* \(#,##0.00\);_(* &quot;-&quot;??_);_(@_)">
                  <c:v>0.67044884353741496</c:v>
                </c:pt>
              </c:numCache>
            </c:numRef>
          </c:val>
          <c:smooth val="0"/>
          <c:extLst>
            <c:ext xmlns:c16="http://schemas.microsoft.com/office/drawing/2014/chart" uri="{C3380CC4-5D6E-409C-BE32-E72D297353CC}">
              <c16:uniqueId val="{00000006-0138-4196-AE51-68006866D2F3}"/>
            </c:ext>
          </c:extLst>
        </c:ser>
        <c:dLbls>
          <c:showLegendKey val="0"/>
          <c:showVal val="1"/>
          <c:showCatName val="0"/>
          <c:showSerName val="0"/>
          <c:showPercent val="0"/>
          <c:showBubbleSize val="0"/>
        </c:dLbls>
        <c:marker val="1"/>
        <c:smooth val="0"/>
        <c:axId val="870077743"/>
        <c:axId val="870074863"/>
      </c:lineChart>
      <c:catAx>
        <c:axId val="870077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0074863"/>
        <c:crossesAt val="0"/>
        <c:auto val="1"/>
        <c:lblAlgn val="ctr"/>
        <c:lblOffset val="100"/>
        <c:noMultiLvlLbl val="0"/>
      </c:catAx>
      <c:valAx>
        <c:axId val="870074863"/>
        <c:scaling>
          <c:orientation val="minMax"/>
          <c:max val="1"/>
        </c:scaling>
        <c:delete val="1"/>
        <c:axPos val="l"/>
        <c:numFmt formatCode="_(* #,##0_);_(* \(#,##0\);_(* &quot;-&quot;??_);_(@_)" sourceLinked="1"/>
        <c:majorTickMark val="none"/>
        <c:minorTickMark val="none"/>
        <c:tickLblPos val="nextTo"/>
        <c:crossAx val="870077743"/>
        <c:crosses val="autoZero"/>
        <c:crossBetween val="between"/>
        <c:minorUnit val="1.0000000000000002E-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6.png"/><Relationship Id="rId3" Type="http://schemas.openxmlformats.org/officeDocument/2006/relationships/chart" Target="../charts/chart3.xml"/><Relationship Id="rId7" Type="http://schemas.openxmlformats.org/officeDocument/2006/relationships/image" Target="../media/image5.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4.xml"/><Relationship Id="rId5" Type="http://schemas.openxmlformats.org/officeDocument/2006/relationships/image" Target="../media/image4.pn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3</xdr:col>
      <xdr:colOff>85726</xdr:colOff>
      <xdr:row>2</xdr:row>
      <xdr:rowOff>43619</xdr:rowOff>
    </xdr:from>
    <xdr:to>
      <xdr:col>15</xdr:col>
      <xdr:colOff>353472</xdr:colOff>
      <xdr:row>26</xdr:row>
      <xdr:rowOff>38730</xdr:rowOff>
    </xdr:to>
    <xdr:pic>
      <xdr:nvPicPr>
        <xdr:cNvPr id="2" name="Picture 1">
          <a:extLst>
            <a:ext uri="{FF2B5EF4-FFF2-40B4-BE49-F238E27FC236}">
              <a16:creationId xmlns:a16="http://schemas.microsoft.com/office/drawing/2014/main" id="{E5662DD7-56C3-96A9-2185-861B9CEEE6FC}"/>
            </a:ext>
          </a:extLst>
        </xdr:cNvPr>
        <xdr:cNvPicPr>
          <a:picLocks noChangeAspect="1"/>
        </xdr:cNvPicPr>
      </xdr:nvPicPr>
      <xdr:blipFill>
        <a:blip xmlns:r="http://schemas.openxmlformats.org/officeDocument/2006/relationships" r:embed="rId1"/>
        <a:stretch>
          <a:fillRect/>
        </a:stretch>
      </xdr:blipFill>
      <xdr:spPr>
        <a:xfrm>
          <a:off x="2600326" y="900869"/>
          <a:ext cx="7582946" cy="4567111"/>
        </a:xfrm>
        <a:prstGeom prst="rect">
          <a:avLst/>
        </a:prstGeom>
      </xdr:spPr>
    </xdr:pic>
    <xdr:clientData/>
  </xdr:twoCellAnchor>
  <xdr:twoCellAnchor editAs="oneCell">
    <xdr:from>
      <xdr:col>3</xdr:col>
      <xdr:colOff>9525</xdr:colOff>
      <xdr:row>28</xdr:row>
      <xdr:rowOff>57150</xdr:rowOff>
    </xdr:from>
    <xdr:to>
      <xdr:col>19</xdr:col>
      <xdr:colOff>191887</xdr:colOff>
      <xdr:row>44</xdr:row>
      <xdr:rowOff>48050</xdr:rowOff>
    </xdr:to>
    <xdr:pic>
      <xdr:nvPicPr>
        <xdr:cNvPr id="3" name="Picture 2">
          <a:extLst>
            <a:ext uri="{FF2B5EF4-FFF2-40B4-BE49-F238E27FC236}">
              <a16:creationId xmlns:a16="http://schemas.microsoft.com/office/drawing/2014/main" id="{D54C642B-700F-D1D7-95AF-BF3F34727BAB}"/>
            </a:ext>
          </a:extLst>
        </xdr:cNvPr>
        <xdr:cNvPicPr>
          <a:picLocks noChangeAspect="1"/>
        </xdr:cNvPicPr>
      </xdr:nvPicPr>
      <xdr:blipFill>
        <a:blip xmlns:r="http://schemas.openxmlformats.org/officeDocument/2006/relationships" r:embed="rId2"/>
        <a:stretch>
          <a:fillRect/>
        </a:stretch>
      </xdr:blipFill>
      <xdr:spPr>
        <a:xfrm>
          <a:off x="2524125" y="5867400"/>
          <a:ext cx="9935962" cy="30484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69272</xdr:colOff>
      <xdr:row>12</xdr:row>
      <xdr:rowOff>124692</xdr:rowOff>
    </xdr:from>
    <xdr:to>
      <xdr:col>4</xdr:col>
      <xdr:colOff>672810</xdr:colOff>
      <xdr:row>35</xdr:row>
      <xdr:rowOff>172316</xdr:rowOff>
    </xdr:to>
    <xdr:graphicFrame macro="">
      <xdr:nvGraphicFramePr>
        <xdr:cNvPr id="3" name="Chart 2">
          <a:extLst>
            <a:ext uri="{FF2B5EF4-FFF2-40B4-BE49-F238E27FC236}">
              <a16:creationId xmlns:a16="http://schemas.microsoft.com/office/drawing/2014/main" id="{1FB890D3-0CB7-4D25-B69B-D70CCFCAD8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52821</xdr:colOff>
      <xdr:row>36</xdr:row>
      <xdr:rowOff>180973</xdr:rowOff>
    </xdr:from>
    <xdr:to>
      <xdr:col>12</xdr:col>
      <xdr:colOff>380999</xdr:colOff>
      <xdr:row>54</xdr:row>
      <xdr:rowOff>181843</xdr:rowOff>
    </xdr:to>
    <xdr:graphicFrame macro="">
      <xdr:nvGraphicFramePr>
        <xdr:cNvPr id="6" name="Chart 5">
          <a:extLst>
            <a:ext uri="{FF2B5EF4-FFF2-40B4-BE49-F238E27FC236}">
              <a16:creationId xmlns:a16="http://schemas.microsoft.com/office/drawing/2014/main" id="{839BD65F-5D01-45D4-99CB-29FD209766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311727</xdr:colOff>
      <xdr:row>9</xdr:row>
      <xdr:rowOff>51954</xdr:rowOff>
    </xdr:from>
    <xdr:to>
      <xdr:col>19</xdr:col>
      <xdr:colOff>134218</xdr:colOff>
      <xdr:row>28</xdr:row>
      <xdr:rowOff>69273</xdr:rowOff>
    </xdr:to>
    <xdr:graphicFrame macro="">
      <xdr:nvGraphicFramePr>
        <xdr:cNvPr id="5" name="Chart 4">
          <a:extLst>
            <a:ext uri="{FF2B5EF4-FFF2-40B4-BE49-F238E27FC236}">
              <a16:creationId xmlns:a16="http://schemas.microsoft.com/office/drawing/2014/main" id="{28C15E83-EA3A-C988-3923-5C0E7F1D22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1143000</xdr:colOff>
      <xdr:row>20</xdr:row>
      <xdr:rowOff>60614</xdr:rowOff>
    </xdr:from>
    <xdr:to>
      <xdr:col>4</xdr:col>
      <xdr:colOff>69272</xdr:colOff>
      <xdr:row>20</xdr:row>
      <xdr:rowOff>60614</xdr:rowOff>
    </xdr:to>
    <xdr:cxnSp macro="">
      <xdr:nvCxnSpPr>
        <xdr:cNvPr id="9" name="Straight Connector 8">
          <a:extLst>
            <a:ext uri="{FF2B5EF4-FFF2-40B4-BE49-F238E27FC236}">
              <a16:creationId xmlns:a16="http://schemas.microsoft.com/office/drawing/2014/main" id="{3B6FB6AF-F895-7185-7A35-2973E8733057}"/>
            </a:ext>
          </a:extLst>
        </xdr:cNvPr>
        <xdr:cNvCxnSpPr/>
      </xdr:nvCxnSpPr>
      <xdr:spPr>
        <a:xfrm flipH="1">
          <a:off x="1143000" y="4035137"/>
          <a:ext cx="5377295" cy="0"/>
        </a:xfrm>
        <a:prstGeom prst="line">
          <a:avLst/>
        </a:prstGeom>
      </xdr:spPr>
      <xdr:style>
        <a:lnRef idx="2">
          <a:schemeClr val="accent6"/>
        </a:lnRef>
        <a:fillRef idx="0">
          <a:schemeClr val="accent6"/>
        </a:fillRef>
        <a:effectRef idx="1">
          <a:schemeClr val="accent6"/>
        </a:effectRef>
        <a:fontRef idx="minor">
          <a:schemeClr val="tx1"/>
        </a:fontRef>
      </xdr:style>
    </xdr:cxnSp>
    <xdr:clientData/>
  </xdr:twoCellAnchor>
  <xdr:twoCellAnchor>
    <xdr:from>
      <xdr:col>1</xdr:col>
      <xdr:colOff>77933</xdr:colOff>
      <xdr:row>16</xdr:row>
      <xdr:rowOff>181841</xdr:rowOff>
    </xdr:from>
    <xdr:to>
      <xdr:col>2</xdr:col>
      <xdr:colOff>415638</xdr:colOff>
      <xdr:row>19</xdr:row>
      <xdr:rowOff>112570</xdr:rowOff>
    </xdr:to>
    <xdr:sp macro="" textlink="">
      <xdr:nvSpPr>
        <xdr:cNvPr id="11" name="TextBox 10">
          <a:extLst>
            <a:ext uri="{FF2B5EF4-FFF2-40B4-BE49-F238E27FC236}">
              <a16:creationId xmlns:a16="http://schemas.microsoft.com/office/drawing/2014/main" id="{BCBB9B26-97E8-331B-546C-78D018C889AE}"/>
            </a:ext>
          </a:extLst>
        </xdr:cNvPr>
        <xdr:cNvSpPr txBox="1"/>
      </xdr:nvSpPr>
      <xdr:spPr>
        <a:xfrm>
          <a:off x="3394365" y="3394364"/>
          <a:ext cx="1446068" cy="50222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a:solidFill>
                <a:schemeClr val="accent6">
                  <a:lumMod val="75000"/>
                </a:schemeClr>
              </a:solidFill>
            </a:rPr>
            <a:t>Average cost</a:t>
          </a:r>
          <a:r>
            <a:rPr lang="en-US" sz="1050" b="1" baseline="0">
              <a:solidFill>
                <a:schemeClr val="accent6">
                  <a:lumMod val="75000"/>
                </a:schemeClr>
              </a:solidFill>
            </a:rPr>
            <a:t> of $4.80 per student per year</a:t>
          </a:r>
          <a:endParaRPr lang="en-US" sz="1050" b="1">
            <a:solidFill>
              <a:schemeClr val="accent6">
                <a:lumMod val="75000"/>
              </a:schemeClr>
            </a:solidFill>
          </a:endParaRPr>
        </a:p>
      </xdr:txBody>
    </xdr:sp>
    <xdr:clientData/>
  </xdr:twoCellAnchor>
  <xdr:twoCellAnchor>
    <xdr:from>
      <xdr:col>1</xdr:col>
      <xdr:colOff>632113</xdr:colOff>
      <xdr:row>19</xdr:row>
      <xdr:rowOff>17319</xdr:rowOff>
    </xdr:from>
    <xdr:to>
      <xdr:col>1</xdr:col>
      <xdr:colOff>632113</xdr:colOff>
      <xdr:row>20</xdr:row>
      <xdr:rowOff>8659</xdr:rowOff>
    </xdr:to>
    <xdr:cxnSp macro="">
      <xdr:nvCxnSpPr>
        <xdr:cNvPr id="13" name="Straight Arrow Connector 12">
          <a:extLst>
            <a:ext uri="{FF2B5EF4-FFF2-40B4-BE49-F238E27FC236}">
              <a16:creationId xmlns:a16="http://schemas.microsoft.com/office/drawing/2014/main" id="{6C88DEED-5E37-27E8-A56E-4499BFFA7CE3}"/>
            </a:ext>
          </a:extLst>
        </xdr:cNvPr>
        <xdr:cNvCxnSpPr/>
      </xdr:nvCxnSpPr>
      <xdr:spPr>
        <a:xfrm>
          <a:off x="3948545" y="3801342"/>
          <a:ext cx="0" cy="181840"/>
        </a:xfrm>
        <a:prstGeom prst="straightConnector1">
          <a:avLst/>
        </a:prstGeom>
        <a:ln>
          <a:tailEnd type="triangle"/>
        </a:ln>
      </xdr:spPr>
      <xdr:style>
        <a:lnRef idx="2">
          <a:schemeClr val="accent6"/>
        </a:lnRef>
        <a:fillRef idx="0">
          <a:schemeClr val="accent6"/>
        </a:fillRef>
        <a:effectRef idx="1">
          <a:schemeClr val="accent6"/>
        </a:effectRef>
        <a:fontRef idx="minor">
          <a:schemeClr val="tx1"/>
        </a:fontRef>
      </xdr:style>
    </xdr:cxnSp>
    <xdr:clientData/>
  </xdr:twoCellAnchor>
  <xdr:twoCellAnchor editAs="oneCell">
    <xdr:from>
      <xdr:col>16</xdr:col>
      <xdr:colOff>82334</xdr:colOff>
      <xdr:row>15</xdr:row>
      <xdr:rowOff>8659</xdr:rowOff>
    </xdr:from>
    <xdr:to>
      <xdr:col>20</xdr:col>
      <xdr:colOff>483342</xdr:colOff>
      <xdr:row>23</xdr:row>
      <xdr:rowOff>8349</xdr:rowOff>
    </xdr:to>
    <xdr:pic>
      <xdr:nvPicPr>
        <xdr:cNvPr id="19" name="Picture 18">
          <a:extLst>
            <a:ext uri="{FF2B5EF4-FFF2-40B4-BE49-F238E27FC236}">
              <a16:creationId xmlns:a16="http://schemas.microsoft.com/office/drawing/2014/main" id="{6C03B194-C2B0-25E1-BBA1-DEF63A70CA2F}"/>
            </a:ext>
          </a:extLst>
        </xdr:cNvPr>
        <xdr:cNvPicPr>
          <a:picLocks noChangeAspect="1"/>
        </xdr:cNvPicPr>
      </xdr:nvPicPr>
      <xdr:blipFill>
        <a:blip xmlns:r="http://schemas.openxmlformats.org/officeDocument/2006/relationships" r:embed="rId4"/>
        <a:stretch>
          <a:fillRect/>
        </a:stretch>
      </xdr:blipFill>
      <xdr:spPr>
        <a:xfrm>
          <a:off x="18682061" y="3030682"/>
          <a:ext cx="2825554" cy="1523690"/>
        </a:xfrm>
        <a:prstGeom prst="rect">
          <a:avLst/>
        </a:prstGeom>
      </xdr:spPr>
    </xdr:pic>
    <xdr:clientData/>
  </xdr:twoCellAnchor>
  <xdr:twoCellAnchor editAs="oneCell">
    <xdr:from>
      <xdr:col>12</xdr:col>
      <xdr:colOff>69272</xdr:colOff>
      <xdr:row>40</xdr:row>
      <xdr:rowOff>8660</xdr:rowOff>
    </xdr:from>
    <xdr:to>
      <xdr:col>16</xdr:col>
      <xdr:colOff>154628</xdr:colOff>
      <xdr:row>52</xdr:row>
      <xdr:rowOff>96662</xdr:rowOff>
    </xdr:to>
    <xdr:pic>
      <xdr:nvPicPr>
        <xdr:cNvPr id="23" name="Picture 22">
          <a:extLst>
            <a:ext uri="{FF2B5EF4-FFF2-40B4-BE49-F238E27FC236}">
              <a16:creationId xmlns:a16="http://schemas.microsoft.com/office/drawing/2014/main" id="{CD6698C8-994E-92A8-84C6-3DF9C775D3FE}"/>
            </a:ext>
          </a:extLst>
        </xdr:cNvPr>
        <xdr:cNvPicPr>
          <a:picLocks noChangeAspect="1"/>
        </xdr:cNvPicPr>
      </xdr:nvPicPr>
      <xdr:blipFill>
        <a:blip xmlns:r="http://schemas.openxmlformats.org/officeDocument/2006/relationships" r:embed="rId5"/>
        <a:stretch>
          <a:fillRect/>
        </a:stretch>
      </xdr:blipFill>
      <xdr:spPr>
        <a:xfrm>
          <a:off x="15976022" y="7949046"/>
          <a:ext cx="2778333" cy="2374002"/>
        </a:xfrm>
        <a:prstGeom prst="rect">
          <a:avLst/>
        </a:prstGeom>
      </xdr:spPr>
    </xdr:pic>
    <xdr:clientData/>
  </xdr:twoCellAnchor>
  <xdr:twoCellAnchor>
    <xdr:from>
      <xdr:col>5</xdr:col>
      <xdr:colOff>103910</xdr:colOff>
      <xdr:row>53</xdr:row>
      <xdr:rowOff>173180</xdr:rowOff>
    </xdr:from>
    <xdr:to>
      <xdr:col>10</xdr:col>
      <xdr:colOff>1298863</xdr:colOff>
      <xdr:row>76</xdr:row>
      <xdr:rowOff>43296</xdr:rowOff>
    </xdr:to>
    <xdr:graphicFrame macro="">
      <xdr:nvGraphicFramePr>
        <xdr:cNvPr id="25" name="Chart 24">
          <a:extLst>
            <a:ext uri="{FF2B5EF4-FFF2-40B4-BE49-F238E27FC236}">
              <a16:creationId xmlns:a16="http://schemas.microsoft.com/office/drawing/2014/main" id="{FC6F8168-F770-CCAB-14A0-E9FDEAC793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9</xdr:col>
      <xdr:colOff>1030433</xdr:colOff>
      <xdr:row>59</xdr:row>
      <xdr:rowOff>179265</xdr:rowOff>
    </xdr:from>
    <xdr:to>
      <xdr:col>12</xdr:col>
      <xdr:colOff>381000</xdr:colOff>
      <xdr:row>69</xdr:row>
      <xdr:rowOff>127935</xdr:rowOff>
    </xdr:to>
    <xdr:pic>
      <xdr:nvPicPr>
        <xdr:cNvPr id="27" name="Picture 26">
          <a:extLst>
            <a:ext uri="{FF2B5EF4-FFF2-40B4-BE49-F238E27FC236}">
              <a16:creationId xmlns:a16="http://schemas.microsoft.com/office/drawing/2014/main" id="{A6690E0D-E106-FEEE-F198-9BA8A3D9C473}"/>
            </a:ext>
          </a:extLst>
        </xdr:cNvPr>
        <xdr:cNvPicPr>
          <a:picLocks noChangeAspect="1"/>
        </xdr:cNvPicPr>
      </xdr:nvPicPr>
      <xdr:blipFill>
        <a:blip xmlns:r="http://schemas.openxmlformats.org/officeDocument/2006/relationships" r:embed="rId7"/>
        <a:stretch>
          <a:fillRect/>
        </a:stretch>
      </xdr:blipFill>
      <xdr:spPr>
        <a:xfrm>
          <a:off x="13075228" y="11739151"/>
          <a:ext cx="3212522" cy="1853670"/>
        </a:xfrm>
        <a:prstGeom prst="rect">
          <a:avLst/>
        </a:prstGeom>
      </xdr:spPr>
    </xdr:pic>
    <xdr:clientData/>
  </xdr:twoCellAnchor>
  <xdr:twoCellAnchor editAs="oneCell">
    <xdr:from>
      <xdr:col>4</xdr:col>
      <xdr:colOff>311727</xdr:colOff>
      <xdr:row>16</xdr:row>
      <xdr:rowOff>155863</xdr:rowOff>
    </xdr:from>
    <xdr:to>
      <xdr:col>7</xdr:col>
      <xdr:colOff>189503</xdr:colOff>
      <xdr:row>27</xdr:row>
      <xdr:rowOff>27521</xdr:rowOff>
    </xdr:to>
    <xdr:pic>
      <xdr:nvPicPr>
        <xdr:cNvPr id="4" name="Picture 3">
          <a:extLst>
            <a:ext uri="{FF2B5EF4-FFF2-40B4-BE49-F238E27FC236}">
              <a16:creationId xmlns:a16="http://schemas.microsoft.com/office/drawing/2014/main" id="{9F21650C-7A0F-0C70-D63C-9E545980A054}"/>
            </a:ext>
          </a:extLst>
        </xdr:cNvPr>
        <xdr:cNvPicPr>
          <a:picLocks noChangeAspect="1"/>
        </xdr:cNvPicPr>
      </xdr:nvPicPr>
      <xdr:blipFill>
        <a:blip xmlns:r="http://schemas.openxmlformats.org/officeDocument/2006/relationships" r:embed="rId8"/>
        <a:stretch>
          <a:fillRect/>
        </a:stretch>
      </xdr:blipFill>
      <xdr:spPr>
        <a:xfrm>
          <a:off x="6762750" y="3368386"/>
          <a:ext cx="3133594" cy="19671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542925</xdr:colOff>
      <xdr:row>10</xdr:row>
      <xdr:rowOff>209550</xdr:rowOff>
    </xdr:from>
    <xdr:to>
      <xdr:col>14</xdr:col>
      <xdr:colOff>200025</xdr:colOff>
      <xdr:row>32</xdr:row>
      <xdr:rowOff>142875</xdr:rowOff>
    </xdr:to>
    <xdr:graphicFrame macro="">
      <xdr:nvGraphicFramePr>
        <xdr:cNvPr id="2" name="Chart 1">
          <a:extLst>
            <a:ext uri="{FF2B5EF4-FFF2-40B4-BE49-F238E27FC236}">
              <a16:creationId xmlns:a16="http://schemas.microsoft.com/office/drawing/2014/main" id="{8E4A09CD-D329-625A-8C38-4AC0463C435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Christine Beggs" id="{1938B44A-DA7F-493E-879F-437586C3410C}" userId="Christine Beggs"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E12" dT="2025-04-27T15:43:39.86" personId="{1938B44A-DA7F-493E-879F-437586C3410C}" id="{A32DE690-6F56-4875-A191-DAE2FB093632}">
    <text>Assumes 20 regions and one national level trainer per region</text>
  </threadedComment>
  <threadedComment ref="F12" dT="2025-04-26T20:07:47.79" personId="{1938B44A-DA7F-493E-879F-437586C3410C}" id="{B8753FA4-699F-4AFA-811C-A1C189064CB8}">
    <text>Total days</text>
  </threadedComment>
  <threadedComment ref="R12" dT="2025-04-27T15:43:39.86" personId="{1938B44A-DA7F-493E-879F-437586C3410C}" id="{C35E157B-61E9-43B5-AE8B-7169115508B2}">
    <text>Assumes 20 regions and one national level trainer per region</text>
  </threadedComment>
  <threadedComment ref="E13" dT="2025-04-27T15:42:23.25" personId="{1938B44A-DA7F-493E-879F-437586C3410C}" id="{0C56F0DA-2BEF-4195-996C-BDC4735FF2D7}">
    <text xml:space="preserve">Assumes 4 trainers per district attending the master training at the national or regional level </text>
  </threadedComment>
  <threadedComment ref="F13" dT="2025-04-26T20:07:47.79" personId="{1938B44A-DA7F-493E-879F-437586C3410C}" id="{B7C48B56-AA1C-4FF2-B58B-C78E34E5369D}">
    <text>Total days</text>
  </threadedComment>
  <threadedComment ref="R13" dT="2025-04-27T15:42:23.25" personId="{1938B44A-DA7F-493E-879F-437586C3410C}" id="{CCBB4DD4-CBDB-4199-A7A9-F50A09AB0A1F}">
    <text xml:space="preserve">Assumes 1 level 1 training per district attending the master training at the national or regional level </text>
  </threadedComment>
  <threadedComment ref="Q18" dT="2025-06-19T06:27:04.07" personId="{1938B44A-DA7F-493E-879F-437586C3410C}" id="{D298089F-4DCD-4CEC-AD9D-EF72359F1C06}">
    <text xml:space="preserve">One time transportation reimbursement for overnight training </text>
  </threadedComment>
  <threadedComment ref="Q19" dT="2025-06-19T06:27:10.00" personId="{1938B44A-DA7F-493E-879F-437586C3410C}" id="{459B4B25-FCB4-41C0-8F3F-F1EC29FE731A}">
    <text xml:space="preserve">One time transportation reimbursement for overnight training </text>
  </threadedComment>
  <threadedComment ref="F35" dT="2025-04-26T20:07:47.79" personId="{1938B44A-DA7F-493E-879F-437586C3410C}" id="{ADB0216C-604D-400F-A2F7-F244050A2BF2}">
    <text>Total days</text>
  </threadedComment>
  <threadedComment ref="S35" dT="2025-04-26T20:07:47.79" personId="{1938B44A-DA7F-493E-879F-437586C3410C}" id="{1930BF41-126C-4476-9A73-8977714EE266}">
    <text>Total days</text>
  </threadedComment>
  <threadedComment ref="E36" dT="2025-04-26T20:08:02.07" personId="{1938B44A-DA7F-493E-879F-437586C3410C}" id="{0BC3D202-3F45-40D7-9F9D-9B1555F1772F}">
    <text xml:space="preserve">Number of schools divided by avg schools per SISO (see report for sources). Replace with GES numbers on SISOs if I receive. </text>
  </threadedComment>
  <threadedComment ref="F36" dT="2025-04-26T20:07:47.79" personId="{1938B44A-DA7F-493E-879F-437586C3410C}" id="{0842B4F1-B546-4183-AE86-EBDC0CEB311F}">
    <text>Total days</text>
  </threadedComment>
  <threadedComment ref="S36" dT="2025-04-26T20:07:47.79" personId="{1938B44A-DA7F-493E-879F-437586C3410C}" id="{8E12325A-25FD-492D-A3E2-B5B2D071FAF1}">
    <text>Total days</text>
  </threadedComment>
  <threadedComment ref="A37" dT="2025-05-14T15:42:29.50" personId="{1938B44A-DA7F-493E-879F-437586C3410C}" id="{8F8E0343-0FD5-46CF-911F-D8767D00071C}">
    <text>One SL rep per school</text>
  </threadedComment>
  <threadedComment ref="E37" dT="2025-04-27T21:00:40.33" personId="{1938B44A-DA7F-493E-879F-437586C3410C}" id="{58BF6070-1FC2-42CE-9254-C7905CCC8F17}">
    <text xml:space="preserve">Total HT/SL - number of primary schools. </text>
  </threadedComment>
  <threadedComment ref="Q38" dT="2025-04-27T12:44:24.38" personId="{1938B44A-DA7F-493E-879F-437586C3410C}" id="{DE076ED1-2EF4-4FEE-A704-68FD8CAAB899}">
    <text>1:5 ratio of student texts for training participants</text>
  </threadedComment>
  <threadedComment ref="D39" dT="2025-05-17T09:55:07.11" personId="{1938B44A-DA7F-493E-879F-437586C3410C}" id="{A956CEE4-6CB5-49C9-A611-ECDE2E769653}">
    <text xml:space="preserve">1:2 ratio for training </text>
  </threadedComment>
  <threadedComment ref="Q39" dT="2025-06-19T06:34:01.02" personId="{1938B44A-DA7F-493E-879F-437586C3410C}" id="{B050F109-13CF-4210-9AC3-950C07A7995C}">
    <text>Trainers have manual from Level 1 training.</text>
  </threadedComment>
  <threadedComment ref="D40" dT="2025-04-27T12:44:24.38" personId="{1938B44A-DA7F-493E-879F-437586C3410C}" id="{45ED22A7-19CE-4E7D-AA18-6A9B3F5220E9}">
    <text>1:5 ratio of student texts for training participants</text>
  </threadedComment>
  <threadedComment ref="E40" dT="2025-04-27T12:44:24.38" personId="{1938B44A-DA7F-493E-879F-437586C3410C}" id="{CD7A9ED1-AA0F-4DD6-ABA6-EEDE1E6DC4F3}">
    <text>1:5 ratio of example texts for training participants</text>
  </threadedComment>
  <threadedComment ref="Q42" dT="2025-05-01T06:30:45.57" personId="{1938B44A-DA7F-493E-879F-437586C3410C}" id="{0B9C20D4-079C-47DF-AD96-517A07EE0543}">
    <text>One time travel payment for overnight trainees</text>
  </threadedComment>
  <threadedComment ref="D46" dT="2025-05-01T06:30:45.57" personId="{1938B44A-DA7F-493E-879F-437586C3410C}" id="{BDE2935C-BC3B-43F0-9D09-26B8D3A49D6D}">
    <text>One time travel payment for overnight trainees</text>
  </threadedComment>
  <threadedComment ref="R49" dT="2025-06-19T06:38:40.45" personId="{1938B44A-DA7F-493E-879F-437586C3410C}" id="{232D2D6E-5F81-4DC2-9B9D-3FEB19001FD6}">
    <text>4 trainings per district</text>
  </threadedComment>
  <threadedComment ref="S60" dT="2025-06-19T07:08:58.34" personId="{1938B44A-DA7F-493E-879F-437586C3410C}" id="{9300AEF2-4045-4F39-96C9-98064C5CEF4D}">
    <text>Assumes 3 school per day</text>
  </threadedComment>
  <threadedComment ref="E61" dT="2025-05-17T09:52:48.21" personId="{1938B44A-DA7F-493E-879F-437586C3410C}" id="{70792D78-D918-4350-BCC5-75B410A65699}">
    <text xml:space="preserve">7 trainings per term per district (100) 
</text>
  </threadedComment>
  <threadedComment ref="S61" dT="2025-06-19T07:09:13.37" personId="{1938B44A-DA7F-493E-879F-437586C3410C}" id="{38AD4107-6E53-4B8D-AB42-DE3671AEA34F}">
    <text>Assumes three schools per day</text>
  </threadedComment>
  <threadedComment ref="S62" dT="2025-06-19T07:10:48.71" personId="{1938B44A-DA7F-493E-879F-437586C3410C}" id="{93B0AD26-64C1-4A18-9741-40EADA8766E0}">
    <text>Assumes two observations per school visit</text>
  </threadedComment>
  <threadedComment ref="F73" dT="2025-04-26T20:07:47.79" personId="{1938B44A-DA7F-493E-879F-437586C3410C}" id="{AF52DAA4-0EDD-4443-91D1-7634B16E1D69}">
    <text>Total days</text>
  </threadedComment>
  <threadedComment ref="D75" dT="2025-05-17T13:04:44.11" personId="{1938B44A-DA7F-493E-879F-437586C3410C}" id="{4A7A1721-17B4-4FA3-9BA8-DD2D74336146}">
    <text>Small number of reference TGs. Assumes teachers will use their own TGs</text>
  </threadedComment>
  <threadedComment ref="D80" dT="2025-05-01T06:30:45.57" personId="{1938B44A-DA7F-493E-879F-437586C3410C}" id="{51CB116B-4030-410F-BA38-8B66F30EC14D}">
    <text>One time travel payment for overnight trainees</text>
  </threadedComment>
  <threadedComment ref="E87" dT="2025-05-17T09:52:48.21" personId="{1938B44A-DA7F-493E-879F-437586C3410C}" id="{3A8E8EF8-C581-4AB0-8E6F-29453CDEDBB8}">
    <text xml:space="preserve">7
 trainings per term per district (100) 
</text>
  </threadedComment>
</ThreadedComments>
</file>

<file path=xl/threadedComments/threadedComment2.xml><?xml version="1.0" encoding="utf-8"?>
<ThreadedComments xmlns="http://schemas.microsoft.com/office/spreadsheetml/2018/threadedcomments" xmlns:x="http://schemas.openxmlformats.org/spreadsheetml/2006/main">
  <threadedComment ref="E12" dT="2025-04-27T15:43:39.86" personId="{1938B44A-DA7F-493E-879F-437586C3410C}" id="{9646A2A0-5DBE-4E76-AD25-3E3A5FA0650E}">
    <text>Assumes 20 regions and one national level trainer per region</text>
  </threadedComment>
  <threadedComment ref="F12" dT="2025-04-26T20:07:47.79" personId="{1938B44A-DA7F-493E-879F-437586C3410C}" id="{1F7C0DB4-4515-4653-9A5E-30C3B1D8F2A4}">
    <text>Total days</text>
  </threadedComment>
  <threadedComment ref="R12" dT="2025-04-27T15:43:39.86" personId="{1938B44A-DA7F-493E-879F-437586C3410C}" id="{DB464A88-DA0F-4AA9-9B93-34866D19AEF3}">
    <text>Assumes 20 regions and one national level trainer per region</text>
  </threadedComment>
  <threadedComment ref="E13" dT="2025-04-27T15:42:23.25" personId="{1938B44A-DA7F-493E-879F-437586C3410C}" id="{54F594A2-3D3D-4F4D-96A7-E3A3FCBD04A3}">
    <text xml:space="preserve">Assumes 4 trainers per district attending the master training at the national or regional level </text>
  </threadedComment>
  <threadedComment ref="F13" dT="2025-04-26T20:07:47.79" personId="{1938B44A-DA7F-493E-879F-437586C3410C}" id="{0B57567A-F538-4B47-AE33-9614CE2A4B98}">
    <text>Total days</text>
  </threadedComment>
  <threadedComment ref="R13" dT="2025-04-27T15:42:23.25" personId="{1938B44A-DA7F-493E-879F-437586C3410C}" id="{E7EFC238-174D-4DBA-B8B2-CD874BF99057}">
    <text xml:space="preserve">Assumes 1 level 1 training per district attending the master training at the national or regional level </text>
  </threadedComment>
  <threadedComment ref="D18" dT="2025-06-14T10:36:41.87" personId="{1938B44A-DA7F-493E-879F-437586C3410C}" id="{FA435207-38FC-4181-A8ED-1ED3942E802F}">
    <text>One time transportation stipend for overnight training</text>
  </threadedComment>
  <threadedComment ref="Q18" dT="2025-06-19T06:27:04.07" personId="{1938B44A-DA7F-493E-879F-437586C3410C}" id="{3D398F43-9089-4E41-AA55-5DAF708FA632}">
    <text xml:space="preserve">One time transportation reimbursement for overnight training </text>
  </threadedComment>
  <threadedComment ref="Q19" dT="2025-06-19T06:27:10.00" personId="{1938B44A-DA7F-493E-879F-437586C3410C}" id="{762C7516-DEB7-4F14-90D9-03FBDF92B5E3}">
    <text xml:space="preserve">One time transportation reimbursement for overnight training </text>
  </threadedComment>
  <threadedComment ref="F35" dT="2025-04-26T20:07:47.79" personId="{1938B44A-DA7F-493E-879F-437586C3410C}" id="{784F5667-D115-467E-B7C9-9ACB7D3FF476}">
    <text>Total days</text>
  </threadedComment>
  <threadedComment ref="S35" dT="2025-04-26T20:07:47.79" personId="{1938B44A-DA7F-493E-879F-437586C3410C}" id="{CE361CB0-EB68-417A-B4D6-7D56C608CA92}">
    <text>Total days</text>
  </threadedComment>
  <threadedComment ref="E36" dT="2025-04-26T20:08:02.07" personId="{1938B44A-DA7F-493E-879F-437586C3410C}" id="{1AC32B1C-BA63-488E-9622-B13D3389FBB8}">
    <text xml:space="preserve">Number of schools divided by avg schools per SISO (see report for sources). Replace with GES numbers on SISOs if I receive. </text>
  </threadedComment>
  <threadedComment ref="F36" dT="2025-04-26T20:07:47.79" personId="{1938B44A-DA7F-493E-879F-437586C3410C}" id="{7F268ED2-2FA8-4C52-BA64-75DC08484508}">
    <text>Total days</text>
  </threadedComment>
  <threadedComment ref="S36" dT="2025-04-26T20:07:47.79" personId="{1938B44A-DA7F-493E-879F-437586C3410C}" id="{EA6F294C-8C4E-4533-8A56-5875B7AE52C9}">
    <text>Total days</text>
  </threadedComment>
  <threadedComment ref="A37" dT="2025-05-14T15:42:29.50" personId="{1938B44A-DA7F-493E-879F-437586C3410C}" id="{2DBBDC3E-5506-43DF-94DF-0B94FFC77479}">
    <text>One SL rep per school</text>
  </threadedComment>
  <threadedComment ref="E37" dT="2025-04-27T21:00:40.33" personId="{1938B44A-DA7F-493E-879F-437586C3410C}" id="{41EAF0EC-9B3A-4745-BFCA-8C9D2739D1A6}">
    <text xml:space="preserve">Total HT/SL - number of primary schools. </text>
  </threadedComment>
  <threadedComment ref="Q38" dT="2025-04-27T12:44:24.38" personId="{1938B44A-DA7F-493E-879F-437586C3410C}" id="{2C6E6313-8070-4690-8942-9C1FD86AC281}">
    <text>1:5 ratio of student texts for training participants</text>
  </threadedComment>
  <threadedComment ref="D39" dT="2025-05-17T09:55:07.11" personId="{1938B44A-DA7F-493E-879F-437586C3410C}" id="{BAB9E559-222E-45B9-93CC-AFA0CD81F7BE}">
    <text>Year 2, most teachers will bring theirs, but new teachers/replacements may be required.</text>
  </threadedComment>
  <threadedComment ref="Q39" dT="2025-06-19T06:34:01.02" personId="{1938B44A-DA7F-493E-879F-437586C3410C}" id="{884A6BE7-F501-4001-8316-E7CBCBCF05F6}">
    <text>Trainers have manual from Level 1 training.</text>
  </threadedComment>
  <threadedComment ref="D40" dT="2025-04-27T12:44:24.38" personId="{1938B44A-DA7F-493E-879F-437586C3410C}" id="{569E5F2D-B9BA-4DE0-8A27-DA21349D500B}">
    <text>1:5 ratio of student texts for training participants</text>
  </threadedComment>
  <threadedComment ref="E40" dT="2025-04-27T12:44:24.38" personId="{1938B44A-DA7F-493E-879F-437586C3410C}" id="{6504AD3A-D933-4B98-A9FC-1D6D912D0BDF}">
    <text>1:5 ratio of example texts for training participants</text>
  </threadedComment>
  <threadedComment ref="Q42" dT="2025-05-01T06:30:45.57" personId="{1938B44A-DA7F-493E-879F-437586C3410C}" id="{5F6CECD9-8F29-4EA6-BD44-473B46544C0E}">
    <text>One time travel payment for overnight trainees</text>
  </threadedComment>
  <threadedComment ref="D46" dT="2025-05-01T06:30:45.57" personId="{1938B44A-DA7F-493E-879F-437586C3410C}" id="{32DA8EBD-042C-44D5-AF3A-D28F9C1C9E6B}">
    <text>One time travel payment for overnight trainees</text>
  </threadedComment>
  <threadedComment ref="R49" dT="2025-06-19T06:38:40.45" personId="{1938B44A-DA7F-493E-879F-437586C3410C}" id="{6546ED37-39FA-4BCF-A011-F62BDDD00264}">
    <text>4 trainings per district</text>
  </threadedComment>
  <threadedComment ref="S60" dT="2025-06-19T07:08:58.34" personId="{1938B44A-DA7F-493E-879F-437586C3410C}" id="{372CD308-7B2F-49CA-B140-19790CCD1BB7}">
    <text>Assumes 3 school per day</text>
  </threadedComment>
  <threadedComment ref="E61" dT="2025-05-17T09:52:48.21" personId="{1938B44A-DA7F-493E-879F-437586C3410C}" id="{A9EDC780-39EE-479D-8E3C-8B2AE0805BFE}">
    <text xml:space="preserve">7
 trainings per term per district (100) 
</text>
  </threadedComment>
  <threadedComment ref="S61" dT="2025-06-19T07:09:13.37" personId="{1938B44A-DA7F-493E-879F-437586C3410C}" id="{B3F68CAB-473F-4B84-A1AC-8A5174CB7451}">
    <text>Assumes three schools per day</text>
  </threadedComment>
  <threadedComment ref="S62" dT="2025-06-19T07:10:48.71" personId="{1938B44A-DA7F-493E-879F-437586C3410C}" id="{DC551AC3-DDAA-4027-99DC-1972CD07F9E9}">
    <text>Assumes two observations per school visit</text>
  </threadedComment>
  <threadedComment ref="F73" dT="2025-04-26T20:07:47.79" personId="{1938B44A-DA7F-493E-879F-437586C3410C}" id="{A75F5E33-C187-45A4-ABC0-638887AF6560}">
    <text>Total days</text>
  </threadedComment>
  <threadedComment ref="D75" dT="2025-05-17T13:07:16.18" personId="{1938B44A-DA7F-493E-879F-437586C3410C}" id="{F931B59F-B1D4-49B5-AC98-9E50EE7D00C2}">
    <text>Assumes most teachers bring their own, some required for new teachers/replacements</text>
  </threadedComment>
  <threadedComment ref="D80" dT="2025-05-01T06:30:45.57" personId="{1938B44A-DA7F-493E-879F-437586C3410C}" id="{DEE5D653-EEF1-42A0-A351-5B2998117A60}">
    <text>One time travel payment for overnight trainees</text>
  </threadedComment>
  <threadedComment ref="E87" dT="2025-05-17T09:52:48.21" personId="{1938B44A-DA7F-493E-879F-437586C3410C}" id="{964459B2-39C4-4755-B195-DA3A1D7E4CD8}">
    <text xml:space="preserve">7 trainings per term per district (100) 
</text>
  </threadedComment>
  <threadedComment ref="F97" dT="2025-05-17T12:51:56.43" personId="{1938B44A-DA7F-493E-879F-437586C3410C}" id="{4C3A4FBF-B82F-49BE-B100-83EEA9F093A8}">
    <text>10% annual replacement rate</text>
  </threadedComment>
  <threadedComment ref="F98" dT="2025-05-17T12:51:56.43" personId="{1938B44A-DA7F-493E-879F-437586C3410C}" id="{946A0EA7-5398-41AA-B2E8-657839CFEB85}">
    <text>10% annual replacement rate</text>
  </threadedComment>
</ThreadedComments>
</file>

<file path=xl/threadedComments/threadedComment3.xml><?xml version="1.0" encoding="utf-8"?>
<ThreadedComments xmlns="http://schemas.microsoft.com/office/spreadsheetml/2018/threadedcomments" xmlns:x="http://schemas.openxmlformats.org/spreadsheetml/2006/main">
  <threadedComment ref="E12" dT="2025-04-27T15:43:39.86" personId="{1938B44A-DA7F-493E-879F-437586C3410C}" id="{AF0B9D2D-D952-4C0A-A457-618607309278}">
    <text>Assumes 20 regions and one national level trainer per region</text>
  </threadedComment>
  <threadedComment ref="F12" dT="2025-04-26T20:07:47.79" personId="{1938B44A-DA7F-493E-879F-437586C3410C}" id="{58AF2262-1D0C-48AE-8D99-561912490B8E}">
    <text>Total days</text>
  </threadedComment>
  <threadedComment ref="R12" dT="2025-04-27T15:43:39.86" personId="{1938B44A-DA7F-493E-879F-437586C3410C}" id="{C0F92A51-7B08-4F8A-9C26-63488DD96D70}">
    <text>Assumes 20 regions and one national level trainer per region</text>
  </threadedComment>
  <threadedComment ref="E13" dT="2025-04-27T15:42:23.25" personId="{1938B44A-DA7F-493E-879F-437586C3410C}" id="{6F964895-EA34-4EE6-A4F8-F05223A89797}">
    <text xml:space="preserve">Assumes 4 trainers per district attending the master training at the national or regional level </text>
  </threadedComment>
  <threadedComment ref="F13" dT="2025-04-26T20:07:47.79" personId="{1938B44A-DA7F-493E-879F-437586C3410C}" id="{39AF389B-3E4D-47FC-B7DE-3BC1E3BD0415}">
    <text>Total days</text>
  </threadedComment>
  <threadedComment ref="R13" dT="2025-04-27T15:42:23.25" personId="{1938B44A-DA7F-493E-879F-437586C3410C}" id="{7F58940A-8E57-4BAE-95DA-B338A10AA2A9}">
    <text xml:space="preserve">Assumes 1 level 1 training per district attending the master training at the national or regional level </text>
  </threadedComment>
  <threadedComment ref="Q18" dT="2025-06-19T06:27:04.07" personId="{1938B44A-DA7F-493E-879F-437586C3410C}" id="{7E792ECE-758B-4D3B-965B-9B471EE80EC2}">
    <text xml:space="preserve">One time transportation reimbursement for overnight training </text>
  </threadedComment>
  <threadedComment ref="Q19" dT="2025-06-19T06:27:10.00" personId="{1938B44A-DA7F-493E-879F-437586C3410C}" id="{038E34F7-9906-4243-9885-C4B6BC559FF3}">
    <text xml:space="preserve">One time transportation reimbursement for overnight training </text>
  </threadedComment>
  <threadedComment ref="F35" dT="2025-04-26T20:07:47.79" personId="{1938B44A-DA7F-493E-879F-437586C3410C}" id="{652F46E9-8A81-47FF-BFEF-EA6ABFB5DEA9}">
    <text>Total days</text>
  </threadedComment>
  <threadedComment ref="S35" dT="2025-04-26T20:07:47.79" personId="{1938B44A-DA7F-493E-879F-437586C3410C}" id="{B62D1CE2-E3AD-4AEE-8577-B37594C3C4A0}">
    <text>Total days</text>
  </threadedComment>
  <threadedComment ref="E36" dT="2025-04-26T20:08:02.07" personId="{1938B44A-DA7F-493E-879F-437586C3410C}" id="{80AE6990-9FE7-4436-80B0-782D3EEC90DD}">
    <text xml:space="preserve">Number of schools divided by avg schools per SISO (see report for sources). Replace with GES numbers on SISOs if I receive. </text>
  </threadedComment>
  <threadedComment ref="F36" dT="2025-04-26T20:07:47.79" personId="{1938B44A-DA7F-493E-879F-437586C3410C}" id="{E969A3CB-3194-493D-89B3-95BED43CD5AC}">
    <text>Total days</text>
  </threadedComment>
  <threadedComment ref="S36" dT="2025-04-26T20:07:47.79" personId="{1938B44A-DA7F-493E-879F-437586C3410C}" id="{9F1E9394-EC47-4E06-B91C-2B028B298B7E}">
    <text>Total days</text>
  </threadedComment>
  <threadedComment ref="A37" dT="2025-05-14T15:42:29.50" personId="{1938B44A-DA7F-493E-879F-437586C3410C}" id="{F97DA2E2-C173-4391-85D1-80E00DD111BB}">
    <text>One SL rep per school</text>
  </threadedComment>
  <threadedComment ref="E37" dT="2025-04-27T21:00:40.33" personId="{1938B44A-DA7F-493E-879F-437586C3410C}" id="{F75C789E-DEBB-42E7-ABB3-7310A9B057E8}">
    <text xml:space="preserve">Total HT/SL - number of primary schools. </text>
  </threadedComment>
  <threadedComment ref="Q38" dT="2025-04-27T12:44:24.38" personId="{1938B44A-DA7F-493E-879F-437586C3410C}" id="{A862BB83-EC6A-4AC6-8A6E-AA2A87BD69E4}">
    <text>1:5 ratio of student texts for training participants</text>
  </threadedComment>
  <threadedComment ref="D39" dT="2025-05-17T09:55:07.11" personId="{1938B44A-DA7F-493E-879F-437586C3410C}" id="{A99C8955-05CC-41B4-90D2-0A9FD4A10351}">
    <text>Year 2, most teachers will bring theirs, but new teachers/replacements may be required.</text>
  </threadedComment>
  <threadedComment ref="Q39" dT="2025-06-19T06:34:01.02" personId="{1938B44A-DA7F-493E-879F-437586C3410C}" id="{71018913-1165-46EC-ADBF-7D2650712773}">
    <text>Trainers have manual from Level 1 training.</text>
  </threadedComment>
  <threadedComment ref="D40" dT="2025-04-27T12:44:24.38" personId="{1938B44A-DA7F-493E-879F-437586C3410C}" id="{F79626C3-3A01-40DB-84AD-FED32EC92F84}">
    <text>1:5 ratio of student texts for training participants</text>
  </threadedComment>
  <threadedComment ref="E40" dT="2025-04-27T12:44:24.38" personId="{1938B44A-DA7F-493E-879F-437586C3410C}" id="{76440516-9566-4787-A30A-4AF4A82F46B2}">
    <text>1:5 ratio of example texts for training participants</text>
  </threadedComment>
  <threadedComment ref="Q42" dT="2025-05-01T06:30:45.57" personId="{1938B44A-DA7F-493E-879F-437586C3410C}" id="{13A6FAF2-1F77-445A-81F0-9AA2427D062E}">
    <text>One time travel payment for overnight trainees</text>
  </threadedComment>
  <threadedComment ref="D46" dT="2025-05-01T06:30:45.57" personId="{1938B44A-DA7F-493E-879F-437586C3410C}" id="{31544928-BDE4-4F9A-98F9-71468416DFA0}">
    <text>One time travel payment for overnight trainees</text>
  </threadedComment>
  <threadedComment ref="R49" dT="2025-06-19T06:38:40.45" personId="{1938B44A-DA7F-493E-879F-437586C3410C}" id="{874E5779-3287-45D2-B877-01998EEE8486}">
    <text>4 trainings per district</text>
  </threadedComment>
  <threadedComment ref="S60" dT="2025-06-19T07:08:58.34" personId="{1938B44A-DA7F-493E-879F-437586C3410C}" id="{C91B59A7-2233-4E98-89FB-2C459969962B}">
    <text>Assumes 3 school per day</text>
  </threadedComment>
  <threadedComment ref="E61" dT="2025-05-17T09:52:48.21" personId="{1938B44A-DA7F-493E-879F-437586C3410C}" id="{C7BD1F9E-2A24-4EFF-87C1-FCBDEFD39C7A}">
    <text xml:space="preserve">7 trainings per term per district (100) 
</text>
  </threadedComment>
  <threadedComment ref="S61" dT="2025-06-19T07:09:13.37" personId="{1938B44A-DA7F-493E-879F-437586C3410C}" id="{B3D744F7-F4B7-4FA8-A62B-66EFEC237DFE}">
    <text>Assumes three schools per day</text>
  </threadedComment>
  <threadedComment ref="S62" dT="2025-06-19T07:10:48.71" personId="{1938B44A-DA7F-493E-879F-437586C3410C}" id="{96B9BF79-2BE0-45AE-B3A1-40A20E34129C}">
    <text>Assumes two observations per school visit</text>
  </threadedComment>
  <threadedComment ref="F73" dT="2025-04-26T20:07:47.79" personId="{1938B44A-DA7F-493E-879F-437586C3410C}" id="{7EB8E4F3-7891-4D31-8048-1FB25225A53F}">
    <text>Total days</text>
  </threadedComment>
  <threadedComment ref="D75" dT="2025-05-17T13:07:16.18" personId="{1938B44A-DA7F-493E-879F-437586C3410C}" id="{282F7B6C-D8D3-49BE-9C6A-90BE01917E20}">
    <text>Assumes most teachers bring their own, some required for new teachers/replacements</text>
  </threadedComment>
  <threadedComment ref="D80" dT="2025-05-01T06:30:45.57" personId="{1938B44A-DA7F-493E-879F-437586C3410C}" id="{49CE3A60-379E-46AA-8978-866A993B4119}">
    <text>One time travel payment for overnight trainees</text>
  </threadedComment>
  <threadedComment ref="E87" dT="2025-05-17T09:52:48.21" personId="{1938B44A-DA7F-493E-879F-437586C3410C}" id="{63DFC1B1-F8AD-4462-9ACC-EFA1713D6FEC}">
    <text xml:space="preserve">7
 trainings per term per district (100) 
</text>
  </threadedComment>
  <threadedComment ref="F97" dT="2025-05-17T12:51:56.43" personId="{1938B44A-DA7F-493E-879F-437586C3410C}" id="{676D92EB-577F-4C41-9D23-D5E6BD0F92F3}">
    <text>10% annual replacement rate</text>
  </threadedComment>
  <threadedComment ref="F98" dT="2025-05-17T12:52:54.69" personId="{1938B44A-DA7F-493E-879F-437586C3410C}" id="{A1280FE0-7441-4780-9A52-BC043BF7E4C9}">
    <text>10% annual replacement rate</text>
  </threadedComment>
</ThreadedComments>
</file>

<file path=xl/threadedComments/threadedComment4.xml><?xml version="1.0" encoding="utf-8"?>
<ThreadedComments xmlns="http://schemas.microsoft.com/office/spreadsheetml/2018/threadedcomments" xmlns:x="http://schemas.openxmlformats.org/spreadsheetml/2006/main">
  <threadedComment ref="E12" dT="2025-04-27T15:43:39.86" personId="{1938B44A-DA7F-493E-879F-437586C3410C}" id="{57F9AE5B-035A-4C1D-9EB6-EDEE6254FAC5}">
    <text>Assumes 20 regions and one national level trainer per region</text>
  </threadedComment>
  <threadedComment ref="F12" dT="2025-04-26T20:07:47.79" personId="{1938B44A-DA7F-493E-879F-437586C3410C}" id="{6CF8837C-469B-40E2-B371-2E435DC52A42}">
    <text>Total days</text>
  </threadedComment>
  <threadedComment ref="R12" dT="2025-04-27T15:43:39.86" personId="{1938B44A-DA7F-493E-879F-437586C3410C}" id="{703F96F3-B61E-4D26-955F-E3DD905E7373}">
    <text>Assumes 20 regions and one national level trainer per region</text>
  </threadedComment>
  <threadedComment ref="E13" dT="2025-04-27T15:42:23.25" personId="{1938B44A-DA7F-493E-879F-437586C3410C}" id="{EADF1056-2B51-4B75-983B-5B920119AA0B}">
    <text xml:space="preserve">Assumes 4 trainers per district attending the master training at the national or regional level </text>
  </threadedComment>
  <threadedComment ref="F13" dT="2025-04-26T20:07:47.79" personId="{1938B44A-DA7F-493E-879F-437586C3410C}" id="{616DBFBF-EDB5-41BB-AE5D-0A5095C5978B}">
    <text>Total days</text>
  </threadedComment>
  <threadedComment ref="R13" dT="2025-04-27T15:42:23.25" personId="{1938B44A-DA7F-493E-879F-437586C3410C}" id="{F00B2E25-5AB0-4D95-9DB0-6219F8897438}">
    <text xml:space="preserve">Assumes 1 level 1 training per district attending the master training at the national or regional level </text>
  </threadedComment>
  <threadedComment ref="Q18" dT="2025-06-19T06:27:04.07" personId="{1938B44A-DA7F-493E-879F-437586C3410C}" id="{D20F0684-4C93-4312-9993-8B46A2F3F204}">
    <text xml:space="preserve">One time transportation reimbursement for overnight training </text>
  </threadedComment>
  <threadedComment ref="Q19" dT="2025-06-19T06:27:10.00" personId="{1938B44A-DA7F-493E-879F-437586C3410C}" id="{316AF83F-857E-49F5-A32A-7543E120A42C}">
    <text xml:space="preserve">One time transportation reimbursement for overnight training </text>
  </threadedComment>
  <threadedComment ref="F35" dT="2025-04-26T20:07:47.79" personId="{1938B44A-DA7F-493E-879F-437586C3410C}" id="{92DB6D56-8485-4414-B02D-BC4A6DE493DC}">
    <text>Total days</text>
  </threadedComment>
  <threadedComment ref="S35" dT="2025-04-26T20:07:47.79" personId="{1938B44A-DA7F-493E-879F-437586C3410C}" id="{A668AE4C-AD85-4723-BE50-2535AB1B0E5E}">
    <text>Total days</text>
  </threadedComment>
  <threadedComment ref="E36" dT="2025-04-26T20:08:02.07" personId="{1938B44A-DA7F-493E-879F-437586C3410C}" id="{84344881-6DB7-4F58-8287-BC74A51D57D1}">
    <text xml:space="preserve">Number of schools divided by avg schools per SISO (see report for sources). Replace with GES numbers on SISOs if I receive. </text>
  </threadedComment>
  <threadedComment ref="F36" dT="2025-04-26T20:07:47.79" personId="{1938B44A-DA7F-493E-879F-437586C3410C}" id="{17871999-3065-4B85-BA22-007F88DAD3BC}">
    <text>Total days</text>
  </threadedComment>
  <threadedComment ref="S36" dT="2025-04-26T20:07:47.79" personId="{1938B44A-DA7F-493E-879F-437586C3410C}" id="{80FAA39D-2CF1-4567-86D5-192544573AC2}">
    <text>Total days</text>
  </threadedComment>
  <threadedComment ref="A37" dT="2025-05-14T15:42:29.50" personId="{1938B44A-DA7F-493E-879F-437586C3410C}" id="{89F01F95-48E3-44EA-8B10-A3D28D83BF34}">
    <text>One SL rep per school</text>
  </threadedComment>
  <threadedComment ref="E37" dT="2025-04-27T21:00:40.33" personId="{1938B44A-DA7F-493E-879F-437586C3410C}" id="{86BD37CB-7CE2-4EF8-BD2A-75D9DA835F38}">
    <text xml:space="preserve">Total HT/SL - number of primary schools. </text>
  </threadedComment>
  <threadedComment ref="Q38" dT="2025-04-27T12:44:24.38" personId="{1938B44A-DA7F-493E-879F-437586C3410C}" id="{A26F22F4-31B2-4E48-A53C-D12B4030B4FD}">
    <text>1:5 ratio of student texts for training participants</text>
  </threadedComment>
  <threadedComment ref="D39" dT="2025-05-17T09:55:07.11" personId="{1938B44A-DA7F-493E-879F-437586C3410C}" id="{A5AA477C-85AA-4791-9B88-466155956A8D}">
    <text>Year 2, most teachers will bring theirs, but new teachers/replacements may be required.</text>
  </threadedComment>
  <threadedComment ref="Q39" dT="2025-06-19T06:34:01.02" personId="{1938B44A-DA7F-493E-879F-437586C3410C}" id="{ADFA0944-C917-4FE2-9FCC-3C07D6E2B171}">
    <text>Trainers have manual from Level 1 training.</text>
  </threadedComment>
  <threadedComment ref="D40" dT="2025-04-27T12:44:24.38" personId="{1938B44A-DA7F-493E-879F-437586C3410C}" id="{4A57BD33-6015-4805-BD56-9C6E71970BC7}">
    <text>1:5 ratio of student texts for training participants</text>
  </threadedComment>
  <threadedComment ref="E40" dT="2025-04-27T12:44:24.38" personId="{1938B44A-DA7F-493E-879F-437586C3410C}" id="{42EF8EC9-AE8C-47EA-90FA-7A24F3E7500F}">
    <text>1:5 ratio of example texts for training participants</text>
  </threadedComment>
  <threadedComment ref="Q42" dT="2025-05-01T06:30:45.57" personId="{1938B44A-DA7F-493E-879F-437586C3410C}" id="{19E8C8DB-57C4-4A4C-93BC-CE536AC6B97B}">
    <text>One time travel payment for overnight trainees</text>
  </threadedComment>
  <threadedComment ref="D46" dT="2025-05-01T06:30:45.57" personId="{1938B44A-DA7F-493E-879F-437586C3410C}" id="{0C0D547A-D645-41B7-A37D-9F0BDA46BA01}">
    <text>One time travel payment for overnight trainees</text>
  </threadedComment>
  <threadedComment ref="R49" dT="2025-06-19T06:38:40.45" personId="{1938B44A-DA7F-493E-879F-437586C3410C}" id="{FB24F9C9-6760-4D82-89CE-ABB8838E2A45}">
    <text>4 trainings per district</text>
  </threadedComment>
  <threadedComment ref="S60" dT="2025-06-19T07:08:58.34" personId="{1938B44A-DA7F-493E-879F-437586C3410C}" id="{F637BAD7-0E8C-455E-B807-0230A5A10D8D}">
    <text>Assumes 3 school per day</text>
  </threadedComment>
  <threadedComment ref="E61" dT="2025-05-17T09:52:48.21" personId="{1938B44A-DA7F-493E-879F-437586C3410C}" id="{CB4B16DA-3B3D-4D60-A7EC-FF493A78CBAB}">
    <text xml:space="preserve">7 trainings per term per district (100) 
</text>
  </threadedComment>
  <threadedComment ref="S61" dT="2025-06-19T07:09:13.37" personId="{1938B44A-DA7F-493E-879F-437586C3410C}" id="{16D69EE0-DEA2-4F5F-95B0-471ACCD56385}">
    <text>Assumes three schools per day</text>
  </threadedComment>
  <threadedComment ref="S62" dT="2025-06-19T07:10:48.71" personId="{1938B44A-DA7F-493E-879F-437586C3410C}" id="{885F77C7-3A2D-45F4-9F6F-5B977EA0E3B0}">
    <text>Assumes two observations per school visit</text>
  </threadedComment>
  <threadedComment ref="F73" dT="2025-04-26T20:07:47.79" personId="{1938B44A-DA7F-493E-879F-437586C3410C}" id="{4ACC359F-BDCE-4950-A318-9A87E7A6339C}">
    <text>Total days</text>
  </threadedComment>
  <threadedComment ref="D75" dT="2025-05-17T13:07:16.18" personId="{1938B44A-DA7F-493E-879F-437586C3410C}" id="{291B5672-6B03-4AFD-B0BC-132EC1DE2FCE}">
    <text>Assumes most teachers bring their own, some required for new teachers/replacements</text>
  </threadedComment>
  <threadedComment ref="D80" dT="2025-05-01T06:30:45.57" personId="{1938B44A-DA7F-493E-879F-437586C3410C}" id="{DCC74169-4B08-43AF-AA2E-E27DABF03EEB}">
    <text>One time travel payment for overnight trainees</text>
  </threadedComment>
  <threadedComment ref="E87" dT="2025-05-17T09:52:48.21" personId="{1938B44A-DA7F-493E-879F-437586C3410C}" id="{4C51F4C2-E4C5-4E0D-AE95-214BD2D482F0}">
    <text xml:space="preserve">7
 trainings per term per district (100) 
</text>
  </threadedComment>
  <threadedComment ref="F97" dT="2025-05-17T12:51:56.43" personId="{1938B44A-DA7F-493E-879F-437586C3410C}" id="{BFF343FA-A6FD-43DD-902D-3A1F65F48F8F}">
    <text>10% annual replacement rate</text>
  </threadedComment>
  <threadedComment ref="F98" dT="2025-05-17T12:52:54.69" personId="{1938B44A-DA7F-493E-879F-437586C3410C}" id="{6A9FB34E-21F7-486C-9BAF-8AB7221F55CB}">
    <text>10% annual replacement rate</text>
  </threadedComment>
</ThreadedComments>
</file>

<file path=xl/threadedComments/threadedComment5.xml><?xml version="1.0" encoding="utf-8"?>
<ThreadedComments xmlns="http://schemas.microsoft.com/office/spreadsheetml/2018/threadedcomments" xmlns:x="http://schemas.openxmlformats.org/spreadsheetml/2006/main">
  <threadedComment ref="E12" dT="2025-04-27T15:43:39.86" personId="{1938B44A-DA7F-493E-879F-437586C3410C}" id="{6485928E-C124-463F-9718-4D9F470C6BFF}">
    <text>Assumes 20 regions and one national level trainer per region</text>
  </threadedComment>
  <threadedComment ref="E13" dT="2025-04-27T15:42:23.25" personId="{1938B44A-DA7F-493E-879F-437586C3410C}" id="{C3628375-E64F-4FD0-90E4-2B035EABBA67}">
    <text xml:space="preserve">Assumes 1 level 1 training per district attending the master training at the national or regional level </text>
  </threadedComment>
  <threadedComment ref="D18" dT="2025-06-19T06:27:04.07" personId="{1938B44A-DA7F-493E-879F-437586C3410C}" id="{A3538747-19EE-4FD1-84C9-5E5516C45CDE}">
    <text xml:space="preserve">One time transportation reimbursement for overnight training </text>
  </threadedComment>
  <threadedComment ref="D19" dT="2025-06-19T06:27:10.00" personId="{1938B44A-DA7F-493E-879F-437586C3410C}" id="{2030B422-FBF0-400B-9D6B-2C71227F9356}">
    <text xml:space="preserve">One time transportation reimbursement for overnight training </text>
  </threadedComment>
  <threadedComment ref="F35" dT="2025-04-26T20:07:47.79" personId="{1938B44A-DA7F-493E-879F-437586C3410C}" id="{6BCFEF14-C62C-4264-ABAF-7E2888DB950C}">
    <text>Total days</text>
  </threadedComment>
  <threadedComment ref="F36" dT="2025-04-26T20:07:47.79" personId="{1938B44A-DA7F-493E-879F-437586C3410C}" id="{425AE8C5-FBFD-4194-AF60-511F8F37340D}">
    <text>Total days</text>
  </threadedComment>
  <threadedComment ref="D38" dT="2025-04-27T12:44:24.38" personId="{1938B44A-DA7F-493E-879F-437586C3410C}" id="{AF4AD15B-0582-4B58-9821-6AED5A473C02}">
    <text>1:5 ratio of student texts for training participants</text>
  </threadedComment>
  <threadedComment ref="D39" dT="2025-06-19T06:34:01.02" personId="{1938B44A-DA7F-493E-879F-437586C3410C}" id="{14133F03-50E2-4FC4-998E-82524B306F17}">
    <text>Trainers have manual from Level 1 training.</text>
  </threadedComment>
  <threadedComment ref="D42" dT="2025-05-01T06:30:45.57" personId="{1938B44A-DA7F-493E-879F-437586C3410C}" id="{D562C302-E36B-45C7-95C0-6AEDEB696C62}">
    <text>One time travel payment for overnight trainees</text>
  </threadedComment>
  <threadedComment ref="E49" dT="2025-06-19T06:38:40.45" personId="{1938B44A-DA7F-493E-879F-437586C3410C}" id="{0D9D9040-6CAA-4489-B8D6-186DF3805338}">
    <text>4 trainings per district</text>
  </threadedComment>
  <threadedComment ref="F60" dT="2025-06-19T07:08:58.34" personId="{1938B44A-DA7F-493E-879F-437586C3410C}" id="{F75B79E8-3AE8-40E0-9CAF-4A502D572D00}">
    <text>Assumes 3 school per day</text>
  </threadedComment>
  <threadedComment ref="F61" dT="2025-06-19T07:09:13.37" personId="{1938B44A-DA7F-493E-879F-437586C3410C}" id="{1E3A9B3A-7456-401D-9915-A36B11299372}">
    <text>Assumes three schools per day</text>
  </threadedComment>
  <threadedComment ref="F62" dT="2025-06-19T07:10:48.71" personId="{1938B44A-DA7F-493E-879F-437586C3410C}" id="{1066E0FB-2C77-4A5D-BF65-6B4CF6B9508C}">
    <text>Assumes two observations per school visit</text>
  </threadedComment>
</ThreadedComments>
</file>

<file path=xl/threadedComments/threadedComment6.xml><?xml version="1.0" encoding="utf-8"?>
<ThreadedComments xmlns="http://schemas.microsoft.com/office/spreadsheetml/2018/threadedcomments" xmlns:x="http://schemas.openxmlformats.org/spreadsheetml/2006/main">
  <threadedComment ref="G2" dT="2025-04-26T10:10:47.97" personId="{1938B44A-DA7F-493E-879F-437586C3410C}" id="{A4D6C9C5-7E25-44A6-B214-FE7C4E0530AA}">
    <text>Updated 5/26 per further review of projected inflation rate ranges.</text>
  </threadedComment>
  <threadedComment ref="A35" dT="2025-04-29T11:41:51.43" personId="{1938B44A-DA7F-493E-879F-437586C3410C}" id="{99004A91-2826-41F2-88DA-C98650C1545C}">
    <text>(minus direct payments to facility for food/accommodation) as applicable</text>
  </threadedComment>
</ThreadedComments>
</file>

<file path=xl/threadedComments/threadedComment7.xml><?xml version="1.0" encoding="utf-8"?>
<ThreadedComments xmlns="http://schemas.microsoft.com/office/spreadsheetml/2018/threadedcomments" xmlns:x="http://schemas.openxmlformats.org/spreadsheetml/2006/main">
  <threadedComment ref="E9" dT="2025-04-30T10:29:44.61" personId="{1938B44A-DA7F-493E-879F-437586C3410C}" id="{F0291AA2-0956-42A6-A237-2520956C047D}">
    <text>With cost to govt</text>
  </threadedComment>
</ThreadedComments>
</file>

<file path=xl/threadedComments/threadedComment8.xml><?xml version="1.0" encoding="utf-8"?>
<ThreadedComments xmlns="http://schemas.microsoft.com/office/spreadsheetml/2018/threadedcomments" xmlns:x="http://schemas.openxmlformats.org/spreadsheetml/2006/main">
  <threadedComment ref="E12" dT="2025-04-27T15:43:39.86" personId="{1938B44A-DA7F-493E-879F-437586C3410C}" id="{5308905F-D0E1-4489-ABF5-9BE86A0FFC6D}">
    <text>Assumes 20 regions and one national level trainer per region</text>
  </threadedComment>
  <threadedComment ref="F12" dT="2025-04-26T20:07:47.79" personId="{1938B44A-DA7F-493E-879F-437586C3410C}" id="{7D6A444E-07F6-40B2-88D6-AC596BAABC08}">
    <text>Total days</text>
  </threadedComment>
  <threadedComment ref="E13" dT="2025-04-27T15:42:23.25" personId="{1938B44A-DA7F-493E-879F-437586C3410C}" id="{5C8DBDA2-BBA9-4FF0-AFB1-87BA4B48261B}">
    <text xml:space="preserve">Assumes 4 trainers per district attending the master training at the national or regional level </text>
  </threadedComment>
  <threadedComment ref="F13" dT="2025-04-26T20:07:47.79" personId="{1938B44A-DA7F-493E-879F-437586C3410C}" id="{CBC01416-5CEF-4066-B7E8-691BC2ABEAC6}">
    <text>Total days</text>
  </threadedComment>
  <threadedComment ref="F35" dT="2025-04-26T20:07:47.79" personId="{1938B44A-DA7F-493E-879F-437586C3410C}" id="{D1DBFF15-D26F-411D-9A92-8B1FC80F8314}">
    <text>Total days</text>
  </threadedComment>
  <threadedComment ref="E36" dT="2025-04-26T20:08:02.07" personId="{1938B44A-DA7F-493E-879F-437586C3410C}" id="{B30C36D2-1CC9-4A43-BC33-0677B30C85E0}">
    <text xml:space="preserve">Number of schools divided by avg schools per SISO (see report for sources). Replace with GES numbers on SISOs if I receive. </text>
  </threadedComment>
  <threadedComment ref="F36" dT="2025-04-26T20:07:47.79" personId="{1938B44A-DA7F-493E-879F-437586C3410C}" id="{1A769AF0-6528-4625-B4F3-2A04EC817589}">
    <text>Total days</text>
  </threadedComment>
  <threadedComment ref="A37" dT="2025-05-14T15:42:29.50" personId="{1938B44A-DA7F-493E-879F-437586C3410C}" id="{ADF5CF65-2E33-4E08-80EB-7D5F9D378322}">
    <text>One SL rep per school</text>
  </threadedComment>
  <threadedComment ref="E37" dT="2025-04-27T21:00:40.33" personId="{1938B44A-DA7F-493E-879F-437586C3410C}" id="{31BF621A-E2FA-4A01-AFA1-CF379AE61A38}">
    <text xml:space="preserve">Total HT/SL - number of primary schools. </text>
  </threadedComment>
  <threadedComment ref="D39" dT="2025-05-17T09:55:07.11" personId="{1938B44A-DA7F-493E-879F-437586C3410C}" id="{333779BD-677B-4113-A128-D61578243C60}">
    <text>Assumes most teachers will have their own, but some new teachers/replacements</text>
  </threadedComment>
  <threadedComment ref="D40" dT="2025-04-27T12:44:24.38" personId="{1938B44A-DA7F-493E-879F-437586C3410C}" id="{28F37E7C-5466-4247-B176-97282FAD3FCD}">
    <text>1:5 ratio of student texts for training participants</text>
  </threadedComment>
  <threadedComment ref="E40" dT="2025-04-27T12:44:24.38" personId="{1938B44A-DA7F-493E-879F-437586C3410C}" id="{5E6834A3-CC11-4A2E-B1DE-B3682549EC03}">
    <text>1:5 ratio of example texts for training participants</text>
  </threadedComment>
  <threadedComment ref="D46" dT="2025-05-01T06:30:45.57" personId="{1938B44A-DA7F-493E-879F-437586C3410C}" id="{FBA777A9-2FB0-4783-A5EB-C0CAD75B1145}">
    <text>One time travel payment for overnight trainees</text>
  </threadedComment>
  <threadedComment ref="E61" dT="2025-05-17T09:52:48.21" personId="{1938B44A-DA7F-493E-879F-437586C3410C}" id="{E14D504C-9111-43E1-850B-DD14AC54CB54}">
    <text xml:space="preserve">5 trainings per term per district (100) 
</text>
  </threadedComment>
  <threadedComment ref="F73" dT="2025-04-26T20:07:47.79" personId="{1938B44A-DA7F-493E-879F-437586C3410C}" id="{9B0CC81C-00AB-4483-A5E3-221FD7E5ACDE}">
    <text>Total days</text>
  </threadedComment>
  <threadedComment ref="D75" dT="2025-05-17T13:12:35.66" personId="{1938B44A-DA7F-493E-879F-437586C3410C}" id="{4228495A-C776-4F86-9E58-25EE540BC75D}">
    <text xml:space="preserve">Assumes most teachers have their own, some new teachers/replacements 
</text>
  </threadedComment>
  <threadedComment ref="D80" dT="2025-05-01T06:30:45.57" personId="{1938B44A-DA7F-493E-879F-437586C3410C}" id="{D579A36E-4A39-4A87-8A54-FDA3D0998F7A}">
    <text>One time travel payment for overnight trainees</text>
  </threadedComment>
  <threadedComment ref="E87" dT="2025-05-17T09:52:48.21" personId="{1938B44A-DA7F-493E-879F-437586C3410C}" id="{80E6EC4E-E6C6-46E8-9B9C-AC8D5EF9664A}">
    <text xml:space="preserve">5 trainings per term per district (100) 
</text>
  </threadedComment>
  <threadedComment ref="F97" dT="2025-05-17T12:51:56.43" personId="{1938B44A-DA7F-493E-879F-437586C3410C}" id="{4C12DF5B-C135-4FDC-8122-47E1D492A89A}">
    <text>10% annual replacement rate</text>
  </threadedComment>
  <threadedComment ref="F98" dT="2025-05-17T12:52:54.69" personId="{1938B44A-DA7F-493E-879F-437586C3410C}" id="{090A7A91-8323-47C9-A2B1-93CB13D7427C}">
    <text>10% annual replacement rate</text>
  </threadedComment>
</ThreadedComment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6.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8.xml"/><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3.xml"/><Relationship Id="rId4" Type="http://schemas.microsoft.com/office/2017/10/relationships/threadedComment" Target="../threadedComments/threadedComment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A42A2-20F5-48B7-B3F6-2BE617498337}">
  <sheetPr>
    <tabColor theme="0"/>
  </sheetPr>
  <dimension ref="A1:C58"/>
  <sheetViews>
    <sheetView tabSelected="1" topLeftCell="A10" workbookViewId="0">
      <selection activeCell="G2" sqref="G2"/>
    </sheetView>
  </sheetViews>
  <sheetFormatPr defaultRowHeight="15" x14ac:dyDescent="0.25"/>
  <cols>
    <col min="1" max="1" width="45.5703125" customWidth="1"/>
    <col min="2" max="2" width="53.85546875" style="5" customWidth="1"/>
    <col min="3" max="3" width="76.42578125" customWidth="1"/>
  </cols>
  <sheetData>
    <row r="1" spans="1:3" x14ac:dyDescent="0.25">
      <c r="A1" s="1" t="s">
        <v>372</v>
      </c>
    </row>
    <row r="2" spans="1:3" ht="71.25" customHeight="1" x14ac:dyDescent="0.25">
      <c r="A2" s="486" t="s">
        <v>374</v>
      </c>
      <c r="B2" s="486"/>
      <c r="C2" s="486"/>
    </row>
    <row r="3" spans="1:3" ht="60.75" customHeight="1" x14ac:dyDescent="0.25">
      <c r="A3" s="482" t="s">
        <v>370</v>
      </c>
      <c r="B3" s="482"/>
      <c r="C3" s="482"/>
    </row>
    <row r="4" spans="1:3" ht="120" customHeight="1" x14ac:dyDescent="0.25">
      <c r="A4" s="482" t="s">
        <v>371</v>
      </c>
      <c r="B4" s="482"/>
      <c r="C4" s="482"/>
    </row>
    <row r="5" spans="1:3" ht="81.75" customHeight="1" x14ac:dyDescent="0.25">
      <c r="A5" s="484" t="s">
        <v>373</v>
      </c>
      <c r="B5" s="484"/>
      <c r="C5" s="484"/>
    </row>
    <row r="7" spans="1:3" x14ac:dyDescent="0.25">
      <c r="A7" s="1" t="s">
        <v>52</v>
      </c>
    </row>
    <row r="8" spans="1:3" x14ac:dyDescent="0.25">
      <c r="A8" t="s">
        <v>49</v>
      </c>
      <c r="B8" s="5" t="s">
        <v>53</v>
      </c>
    </row>
    <row r="9" spans="1:3" ht="38.25" customHeight="1" x14ac:dyDescent="0.25">
      <c r="A9" s="272" t="s">
        <v>246</v>
      </c>
      <c r="B9" s="5" t="s">
        <v>358</v>
      </c>
      <c r="C9" s="5" t="s">
        <v>1</v>
      </c>
    </row>
    <row r="10" spans="1:3" ht="38.25" customHeight="1" x14ac:dyDescent="0.25">
      <c r="A10" s="272" t="s">
        <v>367</v>
      </c>
      <c r="B10" s="5" t="s">
        <v>368</v>
      </c>
      <c r="C10" s="5"/>
    </row>
    <row r="11" spans="1:3" ht="38.25" customHeight="1" x14ac:dyDescent="0.25">
      <c r="A11" s="272"/>
      <c r="C11" s="5"/>
    </row>
    <row r="12" spans="1:3" x14ac:dyDescent="0.25">
      <c r="A12" s="1" t="s">
        <v>47</v>
      </c>
    </row>
    <row r="13" spans="1:3" x14ac:dyDescent="0.25">
      <c r="A13" s="272" t="s">
        <v>359</v>
      </c>
    </row>
    <row r="14" spans="1:3" x14ac:dyDescent="0.25">
      <c r="A14" s="382" t="s">
        <v>360</v>
      </c>
    </row>
    <row r="15" spans="1:3" x14ac:dyDescent="0.25">
      <c r="A15" s="383" t="s">
        <v>361</v>
      </c>
    </row>
    <row r="16" spans="1:3" x14ac:dyDescent="0.25">
      <c r="A16" s="384" t="s">
        <v>362</v>
      </c>
    </row>
    <row r="17" spans="1:3" x14ac:dyDescent="0.25">
      <c r="A17" s="385" t="s">
        <v>363</v>
      </c>
    </row>
    <row r="18" spans="1:3" x14ac:dyDescent="0.25">
      <c r="A18" s="319" t="s">
        <v>305</v>
      </c>
      <c r="B18" s="5" t="s">
        <v>251</v>
      </c>
    </row>
    <row r="19" spans="1:3" x14ac:dyDescent="0.25">
      <c r="A19" s="357"/>
      <c r="B19" s="356"/>
    </row>
    <row r="20" spans="1:3" x14ac:dyDescent="0.25">
      <c r="A20" s="354" t="s">
        <v>48</v>
      </c>
    </row>
    <row r="21" spans="1:3" x14ac:dyDescent="0.25">
      <c r="A21" s="355" t="s">
        <v>51</v>
      </c>
      <c r="B21" s="5" t="s">
        <v>129</v>
      </c>
      <c r="C21" s="8"/>
    </row>
    <row r="22" spans="1:3" ht="30" x14ac:dyDescent="0.25">
      <c r="A22" s="272" t="s">
        <v>50</v>
      </c>
      <c r="B22" s="5" t="s">
        <v>369</v>
      </c>
      <c r="C22" s="8"/>
    </row>
    <row r="23" spans="1:3" ht="30" x14ac:dyDescent="0.25">
      <c r="A23" s="272" t="s">
        <v>54</v>
      </c>
      <c r="B23" s="5" t="s">
        <v>130</v>
      </c>
      <c r="C23" s="8"/>
    </row>
    <row r="24" spans="1:3" x14ac:dyDescent="0.25">
      <c r="C24" s="8"/>
    </row>
    <row r="26" spans="1:3" x14ac:dyDescent="0.25">
      <c r="A26" s="49"/>
      <c r="B26" s="48"/>
      <c r="C26" s="8"/>
    </row>
    <row r="27" spans="1:3" x14ac:dyDescent="0.25">
      <c r="A27" s="209"/>
      <c r="B27" s="48"/>
      <c r="C27" s="8"/>
    </row>
    <row r="28" spans="1:3" x14ac:dyDescent="0.25">
      <c r="A28" s="210"/>
      <c r="B28" s="48"/>
      <c r="C28" s="8"/>
    </row>
    <row r="29" spans="1:3" x14ac:dyDescent="0.25">
      <c r="A29" s="211"/>
      <c r="B29" s="48"/>
      <c r="C29" s="8"/>
    </row>
    <row r="30" spans="1:3" ht="36.75" customHeight="1" x14ac:dyDescent="0.25">
      <c r="A30" s="401"/>
      <c r="B30" s="401"/>
      <c r="C30" s="401"/>
    </row>
    <row r="31" spans="1:3" x14ac:dyDescent="0.25">
      <c r="A31" s="211"/>
      <c r="B31" s="48"/>
      <c r="C31" s="8"/>
    </row>
    <row r="32" spans="1:3" x14ac:dyDescent="0.25">
      <c r="A32" s="211"/>
      <c r="B32" s="48"/>
      <c r="C32" s="8"/>
    </row>
    <row r="33" spans="1:3" x14ac:dyDescent="0.25">
      <c r="A33" s="211"/>
      <c r="B33" s="48"/>
      <c r="C33" s="8"/>
    </row>
    <row r="34" spans="1:3" x14ac:dyDescent="0.25">
      <c r="A34" s="211"/>
      <c r="B34" s="48"/>
      <c r="C34" s="8"/>
    </row>
    <row r="35" spans="1:3" x14ac:dyDescent="0.25">
      <c r="A35" s="209"/>
      <c r="B35" s="48"/>
      <c r="C35" s="8"/>
    </row>
    <row r="36" spans="1:3" x14ac:dyDescent="0.25">
      <c r="A36" s="209"/>
      <c r="B36" s="48"/>
      <c r="C36" s="8"/>
    </row>
    <row r="37" spans="1:3" x14ac:dyDescent="0.25">
      <c r="A37" s="212"/>
      <c r="B37" s="212"/>
      <c r="C37" s="212"/>
    </row>
    <row r="38" spans="1:3" x14ac:dyDescent="0.25">
      <c r="A38" s="213"/>
      <c r="B38" s="213"/>
      <c r="C38" s="213"/>
    </row>
    <row r="39" spans="1:3" x14ac:dyDescent="0.25">
      <c r="A39" s="213"/>
      <c r="B39" s="213"/>
      <c r="C39" s="213"/>
    </row>
    <row r="40" spans="1:3" x14ac:dyDescent="0.25">
      <c r="A40" s="213"/>
      <c r="B40" s="213"/>
      <c r="C40" s="213"/>
    </row>
    <row r="41" spans="1:3" ht="24.75" customHeight="1" x14ac:dyDescent="0.25">
      <c r="A41" s="402"/>
      <c r="B41" s="402"/>
      <c r="C41" s="402"/>
    </row>
    <row r="42" spans="1:3" x14ac:dyDescent="0.25">
      <c r="A42" s="402"/>
      <c r="B42" s="402"/>
      <c r="C42" s="402"/>
    </row>
    <row r="43" spans="1:3" x14ac:dyDescent="0.25">
      <c r="A43" s="209"/>
      <c r="B43" s="48"/>
      <c r="C43" s="8"/>
    </row>
    <row r="44" spans="1:3" ht="72.75" customHeight="1" x14ac:dyDescent="0.25">
      <c r="A44" s="401"/>
      <c r="B44" s="401"/>
      <c r="C44" s="401"/>
    </row>
    <row r="45" spans="1:3" x14ac:dyDescent="0.25">
      <c r="A45" s="209"/>
      <c r="B45" s="48"/>
      <c r="C45" s="8"/>
    </row>
    <row r="46" spans="1:3" x14ac:dyDescent="0.25">
      <c r="A46" s="214"/>
      <c r="B46" s="48"/>
      <c r="C46" s="8"/>
    </row>
    <row r="47" spans="1:3" ht="26.65" customHeight="1" x14ac:dyDescent="0.25">
      <c r="A47" s="403"/>
      <c r="B47" s="403"/>
      <c r="C47" s="8"/>
    </row>
    <row r="48" spans="1:3" x14ac:dyDescent="0.25">
      <c r="A48" s="400"/>
      <c r="B48" s="400"/>
      <c r="C48" s="8"/>
    </row>
    <row r="49" spans="1:3" ht="39.75" customHeight="1" x14ac:dyDescent="0.25">
      <c r="A49" s="400"/>
      <c r="B49" s="400"/>
      <c r="C49" s="8"/>
    </row>
    <row r="50" spans="1:3" ht="39.75" customHeight="1" x14ac:dyDescent="0.25">
      <c r="A50" s="400"/>
      <c r="B50" s="400"/>
      <c r="C50" s="8"/>
    </row>
    <row r="51" spans="1:3" x14ac:dyDescent="0.25">
      <c r="A51" s="400"/>
      <c r="B51" s="400"/>
      <c r="C51" s="8"/>
    </row>
    <row r="52" spans="1:3" ht="18.75" x14ac:dyDescent="0.25">
      <c r="A52" s="215"/>
      <c r="B52" s="48"/>
      <c r="C52" s="8"/>
    </row>
    <row r="53" spans="1:3" x14ac:dyDescent="0.25">
      <c r="A53" s="216"/>
      <c r="B53" s="48"/>
      <c r="C53" s="8"/>
    </row>
    <row r="54" spans="1:3" ht="60" customHeight="1" x14ac:dyDescent="0.25">
      <c r="A54" s="401"/>
      <c r="B54" s="401"/>
      <c r="C54" s="401"/>
    </row>
    <row r="55" spans="1:3" ht="64.5" customHeight="1" x14ac:dyDescent="0.25">
      <c r="A55" s="401"/>
      <c r="B55" s="401"/>
      <c r="C55" s="401"/>
    </row>
    <row r="56" spans="1:3" x14ac:dyDescent="0.25">
      <c r="A56" s="8"/>
      <c r="B56" s="48"/>
      <c r="C56" s="8"/>
    </row>
    <row r="57" spans="1:3" x14ac:dyDescent="0.25">
      <c r="A57" s="8"/>
      <c r="B57" s="48"/>
      <c r="C57" s="8"/>
    </row>
    <row r="58" spans="1:3" x14ac:dyDescent="0.25">
      <c r="A58" s="114"/>
    </row>
  </sheetData>
  <mergeCells count="16">
    <mergeCell ref="A4:C4"/>
    <mergeCell ref="A3:C3"/>
    <mergeCell ref="A5:C5"/>
    <mergeCell ref="A2:C2"/>
    <mergeCell ref="A30:C30"/>
    <mergeCell ref="A41:A42"/>
    <mergeCell ref="B41:B42"/>
    <mergeCell ref="C41:C42"/>
    <mergeCell ref="A47:B47"/>
    <mergeCell ref="A50:B50"/>
    <mergeCell ref="A51:B51"/>
    <mergeCell ref="A44:C44"/>
    <mergeCell ref="A54:C54"/>
    <mergeCell ref="A55:C55"/>
    <mergeCell ref="A48:B48"/>
    <mergeCell ref="A49:B49"/>
  </mergeCells>
  <hyperlinks>
    <hyperlink ref="A9" location="'Final Model Description'!A1" display="Final Model Description" xr:uid="{4880D1A5-6036-488B-AF54-30C3B73862B4}"/>
    <hyperlink ref="A21" location="'Reference Sheet'!A1" display="Reference Sheet" xr:uid="{BBFC19CA-2AF7-4504-A757-9ACEE94C4B8C}"/>
    <hyperlink ref="A22" location="'Demographic Data'!A1" display="Demographic Data" xr:uid="{F0704863-9275-48B9-8512-5E0DB5742BD7}"/>
    <hyperlink ref="A23" location="'Prices_non-Labor'!A1" display="Prices_non_Labor" xr:uid="{650EA2C9-74E6-4985-AAA5-3C4ECD26B3D2}"/>
    <hyperlink ref="A18" location="'Instructional Coaching'!A1" display="Instructional Coaching Component- Year 1 " xr:uid="{5CF18410-9D0E-4CF2-9140-EFEA7D2B1CF6}"/>
    <hyperlink ref="A13" location="'MULTI-YEAR SUMMARY '!A1" display="Multi-year Summary" xr:uid="{413D0C68-DF9E-47AE-90C0-B09C047FAFD2}"/>
    <hyperlink ref="A14" location="Model_Yr1!A1" display="Model_Yr1" xr:uid="{FF43F938-5B67-4FCE-96AC-12AB55FEF079}"/>
    <hyperlink ref="A15" location="Model_Yr2!A1" display="Model_Yr2" xr:uid="{EEB69366-537B-48BB-97E1-6639970A1E51}"/>
    <hyperlink ref="A16" location="'Model_Yr 3'!A1" display="Model_Yr3" xr:uid="{8FDC7E46-22C1-4EB1-B691-CF3E10CE4C2E}"/>
    <hyperlink ref="A17" location="'Model_Yr 4'!A1" display="Model_Yr4" xr:uid="{764CEA83-A132-44A4-8FF1-A754F6A0D8CC}"/>
    <hyperlink ref="A10" location="'How to Make Adjustments'!A1" display="How to Make Adjustments" xr:uid="{8B80AA12-1C30-48D0-9873-94A153B6536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65C9A-3BD1-4D50-AD0B-EAF67838D9A9}">
  <sheetPr>
    <tabColor theme="0"/>
  </sheetPr>
  <dimension ref="A1:T52"/>
  <sheetViews>
    <sheetView workbookViewId="0">
      <selection activeCell="H12" sqref="H12"/>
    </sheetView>
  </sheetViews>
  <sheetFormatPr defaultRowHeight="15" x14ac:dyDescent="0.25"/>
  <cols>
    <col min="1" max="1" width="40.42578125" customWidth="1"/>
    <col min="2" max="2" width="16.28515625" customWidth="1"/>
    <col min="3" max="6" width="14.5703125" customWidth="1"/>
    <col min="7" max="7" width="16" customWidth="1"/>
    <col min="8" max="9" width="14.5703125" customWidth="1"/>
    <col min="10" max="10" width="14.42578125" customWidth="1"/>
    <col min="11" max="11" width="17.140625" customWidth="1"/>
    <col min="12" max="12" width="14.140625" customWidth="1"/>
    <col min="13" max="13" width="14.85546875" customWidth="1"/>
    <col min="14" max="14" width="13.28515625" customWidth="1"/>
  </cols>
  <sheetData>
    <row r="1" spans="1:20" x14ac:dyDescent="0.25">
      <c r="A1" s="141" t="s">
        <v>92</v>
      </c>
      <c r="B1" s="461" t="s">
        <v>93</v>
      </c>
      <c r="C1" s="461"/>
      <c r="D1" s="461"/>
      <c r="E1" s="461"/>
      <c r="F1" s="461" t="s">
        <v>98</v>
      </c>
      <c r="G1" s="461"/>
      <c r="H1" s="461"/>
      <c r="I1" s="461"/>
      <c r="J1" s="461" t="s">
        <v>99</v>
      </c>
      <c r="K1" s="461"/>
      <c r="L1" s="461"/>
      <c r="M1" s="461"/>
      <c r="N1" s="49"/>
    </row>
    <row r="2" spans="1:20" ht="45" x14ac:dyDescent="0.25">
      <c r="A2" s="155" t="s">
        <v>209</v>
      </c>
      <c r="B2" s="112" t="s">
        <v>11</v>
      </c>
      <c r="C2" s="154" t="s">
        <v>12</v>
      </c>
      <c r="D2" s="154" t="s">
        <v>13</v>
      </c>
      <c r="E2" s="154" t="s">
        <v>14</v>
      </c>
      <c r="F2" s="156" t="s">
        <v>11</v>
      </c>
      <c r="G2" s="157" t="s">
        <v>12</v>
      </c>
      <c r="H2" s="157" t="s">
        <v>13</v>
      </c>
      <c r="I2" s="157"/>
      <c r="J2" s="46" t="s">
        <v>11</v>
      </c>
      <c r="K2" s="47" t="s">
        <v>100</v>
      </c>
      <c r="L2" s="47" t="s">
        <v>101</v>
      </c>
      <c r="M2" s="47"/>
      <c r="N2" s="147"/>
      <c r="O2" s="147"/>
      <c r="P2" s="8"/>
      <c r="Q2" s="8"/>
    </row>
    <row r="3" spans="1:20" x14ac:dyDescent="0.25">
      <c r="A3" s="150" t="s">
        <v>9</v>
      </c>
      <c r="B3" s="129">
        <v>2025</v>
      </c>
      <c r="C3" s="138">
        <v>0.1</v>
      </c>
      <c r="D3" s="129">
        <v>0.1</v>
      </c>
      <c r="E3" s="139">
        <f>PRODUCT(1+D3,1+D4)</f>
        <v>1.1000000000000001</v>
      </c>
      <c r="F3" s="158">
        <v>2026</v>
      </c>
      <c r="G3" s="159">
        <v>0.1</v>
      </c>
      <c r="H3" s="160">
        <v>1.1000000000000001</v>
      </c>
      <c r="I3" s="160"/>
      <c r="J3" s="165">
        <v>2026</v>
      </c>
      <c r="K3" s="166">
        <v>0.03</v>
      </c>
      <c r="L3" s="165">
        <v>1.03</v>
      </c>
      <c r="M3" s="165"/>
      <c r="N3" s="8"/>
      <c r="O3" s="8"/>
      <c r="P3" s="8"/>
      <c r="Q3" s="8"/>
    </row>
    <row r="4" spans="1:20" x14ac:dyDescent="0.25">
      <c r="A4" s="59"/>
      <c r="B4" s="129" t="s">
        <v>1</v>
      </c>
      <c r="C4" s="138" t="s">
        <v>1</v>
      </c>
      <c r="D4" s="129">
        <v>0</v>
      </c>
      <c r="E4" s="129">
        <v>1</v>
      </c>
      <c r="F4" s="158">
        <v>2027</v>
      </c>
      <c r="G4" s="159">
        <v>0.1</v>
      </c>
      <c r="H4" s="160">
        <v>1.1000000000000001</v>
      </c>
      <c r="I4" s="160"/>
      <c r="J4" s="165">
        <v>2027</v>
      </c>
      <c r="K4" s="166">
        <v>0.03</v>
      </c>
      <c r="L4" s="165">
        <v>1.03</v>
      </c>
      <c r="M4" s="165"/>
      <c r="N4" s="8"/>
      <c r="O4" s="8"/>
      <c r="P4" s="8"/>
      <c r="Q4" s="8"/>
    </row>
    <row r="5" spans="1:20" x14ac:dyDescent="0.25">
      <c r="A5" s="8"/>
      <c r="B5" s="148"/>
      <c r="C5" s="8"/>
      <c r="D5" s="149"/>
      <c r="F5" s="160">
        <v>2028</v>
      </c>
      <c r="G5" s="159">
        <v>0.1</v>
      </c>
      <c r="H5" s="160">
        <v>1.1000000000000001</v>
      </c>
      <c r="I5" s="160"/>
      <c r="J5" s="165">
        <v>2028</v>
      </c>
      <c r="K5" s="166">
        <v>0.03</v>
      </c>
      <c r="L5" s="165">
        <v>1.03</v>
      </c>
      <c r="M5" s="165"/>
      <c r="N5" s="8"/>
      <c r="O5" s="8"/>
      <c r="P5" s="8"/>
      <c r="Q5" s="8"/>
    </row>
    <row r="6" spans="1:20" x14ac:dyDescent="0.25">
      <c r="B6" s="146"/>
      <c r="D6" s="41"/>
      <c r="F6" s="160"/>
      <c r="G6" s="159"/>
      <c r="H6" s="160"/>
      <c r="I6" s="160"/>
      <c r="J6" s="165"/>
      <c r="K6" s="166"/>
      <c r="L6" s="165"/>
      <c r="M6" s="165"/>
      <c r="N6" s="8"/>
      <c r="O6" s="8"/>
      <c r="P6" s="8"/>
      <c r="Q6" s="8"/>
    </row>
    <row r="7" spans="1:20" x14ac:dyDescent="0.25">
      <c r="B7" s="146"/>
      <c r="D7" s="41"/>
      <c r="L7" s="8"/>
      <c r="M7" s="8"/>
      <c r="N7" s="8"/>
      <c r="O7" s="8"/>
      <c r="P7" s="8"/>
      <c r="Q7" s="8"/>
      <c r="R7" s="8"/>
      <c r="S7" s="8"/>
      <c r="T7" s="8"/>
    </row>
    <row r="8" spans="1:20" x14ac:dyDescent="0.25">
      <c r="I8" s="63"/>
      <c r="K8" s="8"/>
      <c r="L8" s="49"/>
      <c r="M8" s="49"/>
      <c r="N8" s="49"/>
      <c r="O8" s="147"/>
      <c r="P8" s="147"/>
      <c r="Q8" s="8"/>
      <c r="R8" s="147"/>
      <c r="S8" s="8"/>
    </row>
    <row r="9" spans="1:20" x14ac:dyDescent="0.25">
      <c r="A9" s="1" t="s">
        <v>22</v>
      </c>
      <c r="K9" s="8"/>
      <c r="L9" s="8"/>
      <c r="M9" s="8"/>
      <c r="N9" s="148"/>
      <c r="O9" s="8"/>
      <c r="P9" s="149"/>
      <c r="Q9" s="8"/>
      <c r="R9" s="8"/>
      <c r="S9" s="8"/>
    </row>
    <row r="10" spans="1:20" ht="45" x14ac:dyDescent="0.25">
      <c r="A10" s="161" t="s">
        <v>24</v>
      </c>
      <c r="B10" s="161"/>
      <c r="C10" s="161"/>
      <c r="D10" s="161" t="s">
        <v>88</v>
      </c>
      <c r="E10" s="161" t="s">
        <v>95</v>
      </c>
      <c r="F10" s="161" t="s">
        <v>94</v>
      </c>
      <c r="G10" s="161" t="s">
        <v>96</v>
      </c>
      <c r="H10" s="161" t="s">
        <v>97</v>
      </c>
      <c r="I10" s="463" t="s">
        <v>8</v>
      </c>
      <c r="J10" s="463"/>
      <c r="K10" s="463"/>
      <c r="L10" s="463"/>
      <c r="M10" s="148"/>
      <c r="N10" s="8"/>
      <c r="O10" s="8"/>
      <c r="P10" s="8"/>
      <c r="Q10" s="8"/>
      <c r="R10" s="8"/>
    </row>
    <row r="11" spans="1:20" x14ac:dyDescent="0.25">
      <c r="A11" s="9" t="s">
        <v>23</v>
      </c>
      <c r="B11" s="151"/>
      <c r="C11" s="164"/>
      <c r="D11" s="164"/>
      <c r="E11" s="172">
        <v>1</v>
      </c>
      <c r="F11" s="60">
        <f>E11*$H$3</f>
        <v>1.1000000000000001</v>
      </c>
      <c r="G11" s="60">
        <f>F11*$H$4</f>
        <v>1.2100000000000002</v>
      </c>
      <c r="H11" s="60">
        <f>G11*$H$5</f>
        <v>1.3310000000000004</v>
      </c>
      <c r="I11" s="63" t="s">
        <v>214</v>
      </c>
      <c r="K11" s="63"/>
      <c r="L11" s="50"/>
      <c r="M11" s="148"/>
      <c r="N11" s="8"/>
      <c r="O11" s="149"/>
      <c r="P11" s="8"/>
      <c r="Q11" s="8"/>
      <c r="R11" s="8"/>
    </row>
    <row r="12" spans="1:20" x14ac:dyDescent="0.25">
      <c r="A12" s="59" t="s">
        <v>210</v>
      </c>
      <c r="B12" s="151"/>
      <c r="C12" s="151"/>
      <c r="D12" s="164"/>
      <c r="E12" s="172">
        <v>1.2</v>
      </c>
      <c r="F12" s="60">
        <f>E12*$H$3</f>
        <v>1.32</v>
      </c>
      <c r="G12" s="60">
        <f>F12*$H$4</f>
        <v>1.4520000000000002</v>
      </c>
      <c r="H12" s="60">
        <f>G12*$H$5</f>
        <v>1.5972000000000004</v>
      </c>
      <c r="I12" s="437" t="s">
        <v>213</v>
      </c>
      <c r="J12" s="437"/>
      <c r="K12" s="437"/>
      <c r="L12" s="437"/>
    </row>
    <row r="13" spans="1:20" x14ac:dyDescent="0.25">
      <c r="A13" s="9" t="s">
        <v>72</v>
      </c>
      <c r="B13" s="151"/>
      <c r="C13" s="151"/>
      <c r="D13" s="164"/>
      <c r="E13" s="172">
        <v>1</v>
      </c>
      <c r="F13" s="60">
        <f>E13*$H$3</f>
        <v>1.1000000000000001</v>
      </c>
      <c r="G13" s="60">
        <f>F13*$H$4</f>
        <v>1.2100000000000002</v>
      </c>
      <c r="H13" s="60">
        <f>G13*$H$5</f>
        <v>1.3310000000000004</v>
      </c>
      <c r="I13" s="437" t="s">
        <v>214</v>
      </c>
      <c r="J13" s="437"/>
      <c r="K13" s="437"/>
      <c r="L13" s="437"/>
    </row>
    <row r="14" spans="1:20" x14ac:dyDescent="0.25">
      <c r="A14" s="151"/>
      <c r="B14" s="151"/>
      <c r="C14" s="151"/>
      <c r="D14" s="164"/>
      <c r="E14" s="164"/>
      <c r="F14" s="164"/>
      <c r="G14" s="164"/>
      <c r="H14" s="164"/>
      <c r="I14" s="462"/>
      <c r="J14" s="462"/>
      <c r="K14" s="462"/>
      <c r="L14" s="462"/>
    </row>
    <row r="15" spans="1:20" x14ac:dyDescent="0.25">
      <c r="A15" s="151"/>
      <c r="B15" s="151"/>
      <c r="C15" s="151"/>
      <c r="D15" s="164"/>
      <c r="E15" s="164"/>
      <c r="F15" s="164"/>
      <c r="G15" s="164"/>
      <c r="H15" s="164"/>
      <c r="I15" s="462"/>
      <c r="J15" s="462"/>
      <c r="K15" s="462"/>
      <c r="L15" s="462"/>
    </row>
    <row r="16" spans="1:20" x14ac:dyDescent="0.25">
      <c r="A16" s="151"/>
      <c r="B16" s="151"/>
      <c r="C16" s="151"/>
      <c r="D16" s="164"/>
      <c r="E16" s="152"/>
      <c r="F16" s="152"/>
      <c r="G16" s="152"/>
      <c r="H16" s="152"/>
      <c r="I16" s="169"/>
    </row>
    <row r="17" spans="1:16" x14ac:dyDescent="0.25">
      <c r="A17" s="151"/>
      <c r="B17" s="151"/>
      <c r="C17" s="151"/>
      <c r="D17" s="152"/>
      <c r="E17" s="152"/>
      <c r="F17" s="152"/>
      <c r="G17" s="152"/>
      <c r="H17" s="152"/>
      <c r="I17" s="151"/>
      <c r="M17" s="146"/>
      <c r="O17" s="41"/>
    </row>
    <row r="18" spans="1:16" x14ac:dyDescent="0.25">
      <c r="A18" s="151"/>
      <c r="B18" s="151"/>
      <c r="C18" s="151"/>
      <c r="D18" s="152"/>
      <c r="E18" s="152"/>
      <c r="F18" s="152"/>
      <c r="G18" s="152"/>
      <c r="H18" s="152"/>
      <c r="I18" s="151"/>
      <c r="M18" s="170"/>
      <c r="N18" s="170"/>
      <c r="O18" s="170"/>
      <c r="P18" s="170"/>
    </row>
    <row r="19" spans="1:16" x14ac:dyDescent="0.25">
      <c r="A19" s="151"/>
      <c r="B19" s="151"/>
      <c r="C19" s="151"/>
      <c r="D19" s="152"/>
      <c r="E19" s="152"/>
      <c r="F19" s="152"/>
      <c r="G19" s="152"/>
      <c r="H19" s="152"/>
      <c r="I19" s="151"/>
    </row>
    <row r="20" spans="1:16" x14ac:dyDescent="0.25">
      <c r="A20" s="8"/>
      <c r="B20" s="8"/>
      <c r="C20" s="8"/>
      <c r="D20" s="163"/>
      <c r="E20" s="163"/>
      <c r="F20" s="163"/>
      <c r="G20" s="163"/>
      <c r="H20" s="163"/>
      <c r="I20" s="8"/>
    </row>
    <row r="21" spans="1:16" x14ac:dyDescent="0.25">
      <c r="A21" s="8"/>
      <c r="B21" s="8"/>
      <c r="C21" s="8"/>
      <c r="D21" s="163"/>
      <c r="E21" s="163"/>
      <c r="F21" s="163"/>
      <c r="G21" s="163"/>
      <c r="H21" s="163"/>
      <c r="I21" s="8"/>
    </row>
    <row r="22" spans="1:16" x14ac:dyDescent="0.25">
      <c r="A22" s="1" t="s">
        <v>90</v>
      </c>
    </row>
    <row r="23" spans="1:16" ht="45" x14ac:dyDescent="0.25">
      <c r="A23" s="161" t="s">
        <v>24</v>
      </c>
      <c r="B23" s="161"/>
      <c r="C23" s="161"/>
      <c r="D23" s="161" t="s">
        <v>88</v>
      </c>
      <c r="E23" s="161" t="s">
        <v>95</v>
      </c>
      <c r="F23" s="161" t="s">
        <v>94</v>
      </c>
      <c r="G23" s="161" t="s">
        <v>96</v>
      </c>
      <c r="H23" s="161" t="s">
        <v>97</v>
      </c>
      <c r="I23" s="161" t="s">
        <v>8</v>
      </c>
    </row>
    <row r="24" spans="1:16" x14ac:dyDescent="0.25">
      <c r="A24" s="9" t="s">
        <v>34</v>
      </c>
      <c r="B24" s="9"/>
      <c r="C24" s="9"/>
      <c r="D24" s="60">
        <v>100</v>
      </c>
      <c r="E24" s="172">
        <f>D24*$E$3</f>
        <v>110.00000000000001</v>
      </c>
      <c r="F24" s="60">
        <f>E24*$H$3</f>
        <v>121.00000000000003</v>
      </c>
      <c r="G24" s="60">
        <f>F24*$H$4</f>
        <v>133.10000000000005</v>
      </c>
      <c r="H24" s="60">
        <f>G24*$H$5</f>
        <v>146.41000000000008</v>
      </c>
      <c r="I24" s="9"/>
    </row>
    <row r="25" spans="1:16" x14ac:dyDescent="0.25">
      <c r="A25" s="8"/>
      <c r="B25" s="8"/>
      <c r="C25" s="8"/>
      <c r="D25" s="163"/>
      <c r="E25" s="163"/>
      <c r="F25" s="163"/>
      <c r="G25" s="163"/>
      <c r="H25" s="163"/>
      <c r="I25" s="8"/>
    </row>
    <row r="26" spans="1:16" x14ac:dyDescent="0.25">
      <c r="A26" s="8"/>
      <c r="B26" s="8"/>
      <c r="C26" s="8"/>
      <c r="D26" s="163"/>
      <c r="E26" s="163"/>
      <c r="F26" s="163"/>
      <c r="G26" s="163"/>
      <c r="H26" s="163"/>
      <c r="I26" s="8"/>
    </row>
    <row r="27" spans="1:16" x14ac:dyDescent="0.25">
      <c r="A27" s="49" t="s">
        <v>89</v>
      </c>
      <c r="B27" s="8"/>
      <c r="C27" s="8"/>
      <c r="D27" s="163"/>
      <c r="E27" s="163"/>
      <c r="F27" s="163"/>
      <c r="G27" s="163"/>
      <c r="H27" s="163"/>
      <c r="I27" s="8"/>
    </row>
    <row r="28" spans="1:16" ht="30" x14ac:dyDescent="0.25">
      <c r="A28" s="161" t="s">
        <v>24</v>
      </c>
      <c r="B28" s="161"/>
      <c r="C28" s="161"/>
      <c r="D28" s="161" t="s">
        <v>88</v>
      </c>
      <c r="E28" s="167">
        <v>2025</v>
      </c>
      <c r="F28" s="167" t="s">
        <v>102</v>
      </c>
      <c r="G28" s="167" t="s">
        <v>103</v>
      </c>
      <c r="H28" s="167" t="s">
        <v>104</v>
      </c>
      <c r="I28" s="161" t="s">
        <v>8</v>
      </c>
    </row>
    <row r="29" spans="1:16" x14ac:dyDescent="0.25">
      <c r="A29" s="9" t="s">
        <v>36</v>
      </c>
      <c r="B29" s="9"/>
      <c r="C29" s="9"/>
      <c r="D29" s="60">
        <v>6.5</v>
      </c>
      <c r="E29" s="172">
        <f>D29</f>
        <v>6.5</v>
      </c>
      <c r="F29" s="43">
        <f>E29*$L$3</f>
        <v>6.6950000000000003</v>
      </c>
      <c r="G29" s="43">
        <f>F29*$L$4</f>
        <v>6.8958500000000003</v>
      </c>
      <c r="H29" s="43">
        <f>G29*$L$5</f>
        <v>7.1027255</v>
      </c>
      <c r="I29" s="9"/>
    </row>
    <row r="30" spans="1:16" x14ac:dyDescent="0.25">
      <c r="A30" s="9" t="s">
        <v>33</v>
      </c>
      <c r="B30" s="9"/>
      <c r="C30" s="59"/>
      <c r="D30" s="60">
        <v>13.5</v>
      </c>
      <c r="E30" s="172">
        <f>D30</f>
        <v>13.5</v>
      </c>
      <c r="F30" s="43">
        <f>E30*$L$3</f>
        <v>13.905000000000001</v>
      </c>
      <c r="G30" s="43">
        <f>F30*$L$4</f>
        <v>14.322150000000002</v>
      </c>
      <c r="H30" s="43">
        <f>G30*$L$5</f>
        <v>14.751814500000004</v>
      </c>
      <c r="I30" s="9"/>
    </row>
    <row r="33" spans="1:10" x14ac:dyDescent="0.25">
      <c r="A33" s="1" t="s">
        <v>37</v>
      </c>
    </row>
    <row r="34" spans="1:10" ht="30" x14ac:dyDescent="0.25">
      <c r="A34" s="161" t="s">
        <v>24</v>
      </c>
      <c r="B34" s="161"/>
      <c r="C34" s="161"/>
      <c r="D34" s="161" t="s">
        <v>88</v>
      </c>
      <c r="E34" s="167">
        <v>2025</v>
      </c>
      <c r="F34" s="167" t="s">
        <v>102</v>
      </c>
      <c r="G34" s="167" t="s">
        <v>103</v>
      </c>
      <c r="H34" s="167" t="s">
        <v>104</v>
      </c>
      <c r="I34" s="161" t="s">
        <v>8</v>
      </c>
    </row>
    <row r="35" spans="1:10" x14ac:dyDescent="0.25">
      <c r="A35" s="9" t="s">
        <v>38</v>
      </c>
      <c r="B35" s="9"/>
      <c r="C35" s="9"/>
      <c r="D35" s="60">
        <v>24</v>
      </c>
      <c r="E35" s="172">
        <f>D35</f>
        <v>24</v>
      </c>
      <c r="F35" s="43">
        <f>E35*$L$3</f>
        <v>24.72</v>
      </c>
      <c r="G35" s="43">
        <f>F35*$L$4</f>
        <v>25.461600000000001</v>
      </c>
      <c r="H35" s="43">
        <f>G35*$L$5</f>
        <v>26.225448</v>
      </c>
      <c r="I35" s="9"/>
    </row>
    <row r="36" spans="1:10" x14ac:dyDescent="0.25">
      <c r="A36" s="9" t="s">
        <v>322</v>
      </c>
      <c r="B36" s="9"/>
      <c r="C36" s="9"/>
      <c r="D36" s="60">
        <v>34</v>
      </c>
      <c r="E36" s="172">
        <f>D36</f>
        <v>34</v>
      </c>
      <c r="F36" s="43">
        <f>E36*$L$3</f>
        <v>35.020000000000003</v>
      </c>
      <c r="G36" s="43">
        <f>F36*$L$4</f>
        <v>36.070600000000006</v>
      </c>
      <c r="H36" s="43">
        <f>G36*$L$5</f>
        <v>37.152718000000007</v>
      </c>
      <c r="I36" s="9"/>
    </row>
    <row r="37" spans="1:10" x14ac:dyDescent="0.25">
      <c r="A37" s="151" t="s">
        <v>36</v>
      </c>
      <c r="B37" s="151"/>
      <c r="C37" s="151"/>
      <c r="D37" s="151"/>
      <c r="E37" s="151"/>
      <c r="F37" s="151"/>
      <c r="G37" s="151"/>
      <c r="H37" s="151"/>
      <c r="I37" s="151" t="s">
        <v>91</v>
      </c>
    </row>
    <row r="40" spans="1:10" x14ac:dyDescent="0.25">
      <c r="A40" s="460" t="s">
        <v>35</v>
      </c>
      <c r="B40" s="460"/>
      <c r="C40" s="460"/>
      <c r="D40" s="162">
        <v>1</v>
      </c>
      <c r="E40" s="149"/>
      <c r="F40" s="171"/>
      <c r="G40" s="171"/>
      <c r="H40" s="171"/>
      <c r="I40" s="8"/>
      <c r="J40" s="8"/>
    </row>
    <row r="41" spans="1:10" x14ac:dyDescent="0.25">
      <c r="A41" s="457" t="s">
        <v>215</v>
      </c>
      <c r="B41" s="458"/>
      <c r="C41" s="459"/>
      <c r="D41" s="162">
        <v>0.1</v>
      </c>
      <c r="E41" s="149"/>
      <c r="F41" s="171"/>
      <c r="G41" s="171"/>
      <c r="H41" s="171"/>
      <c r="I41" s="8"/>
      <c r="J41" s="8"/>
    </row>
    <row r="42" spans="1:10" s="8" customFormat="1" x14ac:dyDescent="0.25">
      <c r="A42" s="49"/>
    </row>
    <row r="43" spans="1:10" s="8" customFormat="1" x14ac:dyDescent="0.25">
      <c r="A43" s="1" t="s">
        <v>253</v>
      </c>
      <c r="B43"/>
      <c r="C43"/>
      <c r="D43"/>
      <c r="E43"/>
      <c r="F43"/>
      <c r="G43" s="147"/>
      <c r="H43" s="147"/>
      <c r="I43" s="147"/>
    </row>
    <row r="44" spans="1:10" s="8" customFormat="1" ht="30" x14ac:dyDescent="0.25">
      <c r="A44" s="161" t="s">
        <v>24</v>
      </c>
      <c r="B44" s="161"/>
      <c r="C44" s="161"/>
      <c r="D44" s="161" t="s">
        <v>88</v>
      </c>
      <c r="E44" s="167">
        <v>2025</v>
      </c>
      <c r="F44" s="167" t="s">
        <v>102</v>
      </c>
      <c r="G44" s="167" t="s">
        <v>103</v>
      </c>
      <c r="H44" s="167" t="s">
        <v>104</v>
      </c>
      <c r="I44" s="161" t="s">
        <v>8</v>
      </c>
    </row>
    <row r="45" spans="1:10" s="8" customFormat="1" x14ac:dyDescent="0.25">
      <c r="A45" s="9" t="s">
        <v>321</v>
      </c>
      <c r="B45" s="9"/>
      <c r="C45" s="9"/>
      <c r="D45" s="52">
        <v>6.8</v>
      </c>
      <c r="E45" s="326">
        <v>6.8</v>
      </c>
      <c r="F45" s="43">
        <f>E45*$L$3</f>
        <v>7.0039999999999996</v>
      </c>
      <c r="G45" s="43">
        <f t="shared" ref="G45:G46" si="0">F45*$L$4</f>
        <v>7.2141199999999994</v>
      </c>
      <c r="H45" s="43">
        <f>G45*$L$5</f>
        <v>7.4305436</v>
      </c>
      <c r="I45" s="9"/>
    </row>
    <row r="46" spans="1:10" s="8" customFormat="1" x14ac:dyDescent="0.25">
      <c r="A46" s="9" t="s">
        <v>320</v>
      </c>
      <c r="B46" s="9"/>
      <c r="C46" s="9"/>
      <c r="D46" s="52">
        <f>160/14.7</f>
        <v>10.884353741496598</v>
      </c>
      <c r="E46" s="327">
        <f>160/14.7</f>
        <v>10.884353741496598</v>
      </c>
      <c r="F46" s="43">
        <f>E46*$L$3</f>
        <v>11.210884353741497</v>
      </c>
      <c r="G46" s="43">
        <f t="shared" si="0"/>
        <v>11.547210884353742</v>
      </c>
      <c r="H46" s="43">
        <f>G46*$L$5</f>
        <v>11.893627210884354</v>
      </c>
      <c r="I46" s="9"/>
    </row>
    <row r="47" spans="1:10" s="8" customFormat="1" x14ac:dyDescent="0.25">
      <c r="A47" s="59" t="s">
        <v>254</v>
      </c>
      <c r="B47" s="59"/>
      <c r="C47" s="59" t="s">
        <v>1</v>
      </c>
      <c r="D47" s="60">
        <v>0.3</v>
      </c>
      <c r="E47" s="172">
        <v>0.3</v>
      </c>
      <c r="F47" s="60">
        <f>E47*$H$3</f>
        <v>0.33</v>
      </c>
      <c r="G47" s="60">
        <f>F47*$H$4</f>
        <v>0.36300000000000004</v>
      </c>
      <c r="H47" s="60">
        <f>G47*$H$5</f>
        <v>0.3993000000000001</v>
      </c>
      <c r="I47" s="59"/>
    </row>
    <row r="48" spans="1:10" s="8" customFormat="1" x14ac:dyDescent="0.25">
      <c r="A48" s="49"/>
    </row>
    <row r="49" spans="1:9" s="8" customFormat="1" x14ac:dyDescent="0.25">
      <c r="A49" s="147"/>
      <c r="B49" s="147"/>
      <c r="C49" s="147"/>
      <c r="D49" s="147"/>
      <c r="E49" s="147"/>
      <c r="F49" s="147"/>
      <c r="G49" s="147"/>
      <c r="H49" s="147"/>
      <c r="I49" s="147"/>
    </row>
    <row r="50" spans="1:9" s="48" customFormat="1" x14ac:dyDescent="0.25"/>
    <row r="51" spans="1:9" s="48" customFormat="1" ht="45" customHeight="1" x14ac:dyDescent="0.25">
      <c r="I51" s="153"/>
    </row>
    <row r="52" spans="1:9" s="8" customFormat="1" x14ac:dyDescent="0.25"/>
  </sheetData>
  <sheetProtection algorithmName="SHA-512" hashValue="GVb1fiMObMI2n69f1n0wSi+Zz9u5O09NmOHGHaQeIZ74ze07jErVgovmWf+rxgYsUKLa7qK82ucpHKPUC716Zw==" saltValue="MkxZDlrsv56TT8tEU3l/wA==" spinCount="100000" sheet="1" objects="1" scenarios="1"/>
  <mergeCells count="10">
    <mergeCell ref="A41:C41"/>
    <mergeCell ref="A40:C40"/>
    <mergeCell ref="B1:E1"/>
    <mergeCell ref="F1:I1"/>
    <mergeCell ref="I15:L15"/>
    <mergeCell ref="J1:M1"/>
    <mergeCell ref="I10:L10"/>
    <mergeCell ref="I12:L12"/>
    <mergeCell ref="I13:L13"/>
    <mergeCell ref="I14:L14"/>
  </mergeCell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1745F-8BC6-4336-AAD5-F671C8962980}">
  <dimension ref="A2:Z107"/>
  <sheetViews>
    <sheetView zoomScale="90" zoomScaleNormal="90" workbookViewId="0">
      <selection activeCell="A15" sqref="A15"/>
    </sheetView>
  </sheetViews>
  <sheetFormatPr defaultRowHeight="15" x14ac:dyDescent="0.25"/>
  <cols>
    <col min="1" max="1" width="27.42578125" customWidth="1"/>
    <col min="2" max="2" width="22.140625" customWidth="1"/>
    <col min="6" max="6" width="9.140625" style="21"/>
    <col min="7" max="14" width="11.85546875" customWidth="1"/>
    <col min="15" max="15" width="13.140625" customWidth="1"/>
    <col min="16" max="16" width="11.85546875" style="21" customWidth="1"/>
    <col min="25" max="25" width="11.42578125" customWidth="1"/>
  </cols>
  <sheetData>
    <row r="2" spans="1:2" x14ac:dyDescent="0.25">
      <c r="A2" t="s">
        <v>106</v>
      </c>
      <c r="B2" s="173">
        <v>100</v>
      </c>
    </row>
    <row r="3" spans="1:2" x14ac:dyDescent="0.25">
      <c r="A3" t="s">
        <v>107</v>
      </c>
      <c r="B3" s="173">
        <v>10000</v>
      </c>
    </row>
    <row r="4" spans="1:2" x14ac:dyDescent="0.25">
      <c r="A4" t="s">
        <v>10</v>
      </c>
      <c r="B4" s="173">
        <v>30000</v>
      </c>
    </row>
    <row r="5" spans="1:2" x14ac:dyDescent="0.25">
      <c r="A5" t="s">
        <v>108</v>
      </c>
      <c r="B5" s="173">
        <f>B4*40</f>
        <v>1200000</v>
      </c>
    </row>
    <row r="6" spans="1:2" x14ac:dyDescent="0.25">
      <c r="A6" t="s">
        <v>115</v>
      </c>
      <c r="B6" s="173">
        <v>1000</v>
      </c>
    </row>
    <row r="15" spans="1:2" x14ac:dyDescent="0.25">
      <c r="A15" s="1"/>
    </row>
    <row r="16" spans="1:2" ht="15.75" thickBot="1" x14ac:dyDescent="0.3"/>
    <row r="17" spans="1:25" s="11" customFormat="1" x14ac:dyDescent="0.25">
      <c r="A17" s="473"/>
      <c r="B17" s="475"/>
      <c r="C17" s="475"/>
      <c r="D17" s="475"/>
      <c r="E17" s="475"/>
      <c r="F17" s="22"/>
      <c r="G17" s="475"/>
      <c r="H17" s="475"/>
      <c r="I17" s="475"/>
      <c r="J17" s="475"/>
      <c r="K17" s="475"/>
      <c r="L17" s="475"/>
      <c r="M17" s="475"/>
      <c r="N17" s="475"/>
      <c r="O17" s="12"/>
      <c r="P17" s="22"/>
      <c r="Q17" s="475"/>
      <c r="R17" s="475"/>
      <c r="S17" s="475"/>
      <c r="T17" s="475"/>
      <c r="U17" s="475"/>
      <c r="V17" s="475"/>
      <c r="W17" s="475"/>
      <c r="X17" s="477"/>
      <c r="Y17" s="32"/>
    </row>
    <row r="18" spans="1:25" s="17" customFormat="1" x14ac:dyDescent="0.25">
      <c r="A18" s="474"/>
      <c r="B18" s="476"/>
      <c r="C18" s="16"/>
      <c r="D18" s="16"/>
      <c r="E18" s="16"/>
      <c r="F18" s="478"/>
      <c r="G18" s="16"/>
      <c r="H18" s="16"/>
      <c r="I18" s="18"/>
      <c r="J18" s="16"/>
      <c r="K18" s="16"/>
      <c r="L18" s="18"/>
      <c r="M18" s="16"/>
      <c r="N18" s="16"/>
      <c r="O18" s="18"/>
      <c r="P18" s="478"/>
      <c r="Q18" s="16"/>
      <c r="R18" s="16"/>
      <c r="S18" s="18"/>
      <c r="T18" s="16"/>
      <c r="U18" s="16"/>
      <c r="V18" s="16"/>
      <c r="W18" s="16"/>
      <c r="X18" s="27"/>
      <c r="Y18" s="34"/>
    </row>
    <row r="19" spans="1:25" s="11" customFormat="1" x14ac:dyDescent="0.25">
      <c r="A19" s="14"/>
      <c r="B19" s="13"/>
      <c r="C19" s="15"/>
      <c r="D19" s="15"/>
      <c r="E19" s="15"/>
      <c r="F19" s="479"/>
      <c r="G19" s="15"/>
      <c r="H19" s="15"/>
      <c r="I19" s="19"/>
      <c r="J19" s="15"/>
      <c r="K19" s="15"/>
      <c r="L19" s="19"/>
      <c r="M19" s="15"/>
      <c r="N19" s="15"/>
      <c r="O19" s="19"/>
      <c r="P19" s="479"/>
      <c r="Q19" s="15"/>
      <c r="R19" s="15"/>
      <c r="S19" s="19"/>
      <c r="T19" s="15"/>
      <c r="U19" s="15"/>
      <c r="V19" s="19"/>
      <c r="W19" s="15"/>
      <c r="X19" s="28"/>
      <c r="Y19" s="33"/>
    </row>
    <row r="20" spans="1:25" s="11" customFormat="1" x14ac:dyDescent="0.25">
      <c r="A20" s="14"/>
      <c r="B20" s="13"/>
      <c r="C20" s="15"/>
      <c r="D20" s="15"/>
      <c r="E20" s="15"/>
      <c r="F20" s="479"/>
      <c r="G20" s="15"/>
      <c r="H20" s="15"/>
      <c r="I20" s="19"/>
      <c r="J20" s="15"/>
      <c r="K20" s="15"/>
      <c r="L20" s="19"/>
      <c r="M20" s="15"/>
      <c r="N20" s="15"/>
      <c r="O20" s="19"/>
      <c r="P20" s="479"/>
      <c r="Q20" s="15"/>
      <c r="R20" s="15"/>
      <c r="S20" s="19"/>
      <c r="T20" s="15"/>
      <c r="U20" s="15"/>
      <c r="V20" s="19"/>
      <c r="W20" s="15"/>
      <c r="X20" s="28"/>
      <c r="Y20" s="33"/>
    </row>
    <row r="21" spans="1:25" s="11" customFormat="1" x14ac:dyDescent="0.25">
      <c r="A21" s="14"/>
      <c r="B21" s="13"/>
      <c r="C21" s="15"/>
      <c r="D21" s="15"/>
      <c r="E21" s="15"/>
      <c r="F21" s="479"/>
      <c r="G21" s="15"/>
      <c r="H21" s="15"/>
      <c r="I21" s="19"/>
      <c r="J21" s="15"/>
      <c r="K21" s="15"/>
      <c r="L21" s="19"/>
      <c r="M21" s="15"/>
      <c r="N21" s="15"/>
      <c r="O21" s="19"/>
      <c r="P21" s="479"/>
      <c r="Q21" s="15"/>
      <c r="R21" s="15"/>
      <c r="S21" s="19"/>
      <c r="T21" s="15"/>
      <c r="U21" s="15"/>
      <c r="V21" s="19"/>
      <c r="W21" s="15"/>
      <c r="X21" s="28"/>
      <c r="Y21" s="33"/>
    </row>
    <row r="22" spans="1:25" s="11" customFormat="1" x14ac:dyDescent="0.25">
      <c r="A22" s="14"/>
      <c r="B22" s="13"/>
      <c r="C22" s="15"/>
      <c r="D22" s="15"/>
      <c r="E22" s="15"/>
      <c r="F22" s="479"/>
      <c r="G22" s="15"/>
      <c r="H22" s="15"/>
      <c r="I22" s="19"/>
      <c r="J22" s="15"/>
      <c r="K22" s="15"/>
      <c r="L22" s="19"/>
      <c r="M22" s="15"/>
      <c r="N22" s="15"/>
      <c r="O22" s="19"/>
      <c r="P22" s="479"/>
      <c r="Q22" s="15"/>
      <c r="R22" s="15"/>
      <c r="S22" s="19"/>
      <c r="T22" s="15"/>
      <c r="U22" s="15"/>
      <c r="V22" s="19"/>
      <c r="W22" s="15"/>
      <c r="X22" s="28"/>
      <c r="Y22" s="33"/>
    </row>
    <row r="23" spans="1:25" s="11" customFormat="1" x14ac:dyDescent="0.25">
      <c r="A23" s="14"/>
      <c r="B23" s="13"/>
      <c r="C23" s="15"/>
      <c r="D23" s="15"/>
      <c r="E23" s="15"/>
      <c r="F23" s="479"/>
      <c r="G23" s="15"/>
      <c r="H23" s="15"/>
      <c r="I23" s="19"/>
      <c r="J23" s="15"/>
      <c r="K23" s="15"/>
      <c r="L23" s="19"/>
      <c r="M23" s="15"/>
      <c r="N23" s="15"/>
      <c r="O23" s="19"/>
      <c r="P23" s="479"/>
      <c r="Q23" s="15"/>
      <c r="R23" s="15"/>
      <c r="S23" s="19"/>
      <c r="T23" s="15"/>
      <c r="U23" s="15"/>
      <c r="V23" s="19"/>
      <c r="W23" s="15"/>
      <c r="X23" s="28"/>
      <c r="Y23" s="33"/>
    </row>
    <row r="24" spans="1:25" s="11" customFormat="1" x14ac:dyDescent="0.25">
      <c r="A24" s="14"/>
      <c r="B24" s="13"/>
      <c r="C24" s="15"/>
      <c r="D24" s="15"/>
      <c r="E24" s="15"/>
      <c r="F24" s="479"/>
      <c r="G24" s="15"/>
      <c r="H24" s="15"/>
      <c r="I24" s="19"/>
      <c r="J24" s="15"/>
      <c r="K24" s="15"/>
      <c r="L24" s="19"/>
      <c r="M24" s="15"/>
      <c r="N24" s="15"/>
      <c r="O24" s="19"/>
      <c r="P24" s="479"/>
      <c r="Q24" s="15"/>
      <c r="R24" s="15"/>
      <c r="S24" s="19"/>
      <c r="T24" s="15"/>
      <c r="U24" s="15"/>
      <c r="V24" s="19"/>
      <c r="W24" s="15"/>
      <c r="X24" s="28"/>
      <c r="Y24" s="33"/>
    </row>
    <row r="25" spans="1:25" s="11" customFormat="1" x14ac:dyDescent="0.25">
      <c r="A25" s="14"/>
      <c r="B25" s="13"/>
      <c r="C25" s="15"/>
      <c r="D25" s="15"/>
      <c r="E25" s="15"/>
      <c r="F25" s="479"/>
      <c r="G25" s="15"/>
      <c r="H25" s="15"/>
      <c r="I25" s="19"/>
      <c r="J25" s="15"/>
      <c r="K25" s="15"/>
      <c r="L25" s="19"/>
      <c r="M25" s="15"/>
      <c r="N25" s="15"/>
      <c r="O25" s="19"/>
      <c r="P25" s="479"/>
      <c r="Q25" s="15"/>
      <c r="R25" s="15"/>
      <c r="S25" s="19"/>
      <c r="T25" s="15"/>
      <c r="U25" s="15"/>
      <c r="V25" s="19"/>
      <c r="W25" s="15"/>
      <c r="X25" s="28"/>
      <c r="Y25" s="33"/>
    </row>
    <row r="26" spans="1:25" s="11" customFormat="1" x14ac:dyDescent="0.25">
      <c r="A26" s="14"/>
      <c r="B26" s="13"/>
      <c r="C26" s="15"/>
      <c r="D26" s="15"/>
      <c r="E26" s="15"/>
      <c r="F26" s="479"/>
      <c r="G26" s="15"/>
      <c r="H26" s="15"/>
      <c r="I26" s="19"/>
      <c r="J26" s="15"/>
      <c r="K26" s="15"/>
      <c r="L26" s="19"/>
      <c r="M26" s="15"/>
      <c r="N26" s="15"/>
      <c r="O26" s="19"/>
      <c r="P26" s="479"/>
      <c r="Q26" s="15"/>
      <c r="R26" s="15"/>
      <c r="S26" s="19"/>
      <c r="T26" s="15"/>
      <c r="U26" s="15"/>
      <c r="V26" s="19"/>
      <c r="W26" s="15"/>
      <c r="X26" s="28"/>
      <c r="Y26" s="33"/>
    </row>
    <row r="27" spans="1:25" s="11" customFormat="1" x14ac:dyDescent="0.25">
      <c r="A27" s="14"/>
      <c r="B27" s="13"/>
      <c r="C27" s="15"/>
      <c r="D27" s="15"/>
      <c r="E27" s="15"/>
      <c r="F27" s="479"/>
      <c r="G27" s="15"/>
      <c r="H27" s="15"/>
      <c r="I27" s="19"/>
      <c r="J27" s="15"/>
      <c r="K27" s="15"/>
      <c r="L27" s="19"/>
      <c r="M27" s="15"/>
      <c r="N27" s="15"/>
      <c r="O27" s="19"/>
      <c r="P27" s="479"/>
      <c r="Q27" s="15"/>
      <c r="R27" s="15"/>
      <c r="S27" s="19"/>
      <c r="T27" s="15"/>
      <c r="U27" s="15"/>
      <c r="V27" s="19"/>
      <c r="W27" s="15"/>
      <c r="X27" s="28"/>
      <c r="Y27" s="33"/>
    </row>
    <row r="28" spans="1:25" s="11" customFormat="1" x14ac:dyDescent="0.25">
      <c r="A28" s="14"/>
      <c r="B28" s="13"/>
      <c r="C28" s="15"/>
      <c r="D28" s="15"/>
      <c r="E28" s="15"/>
      <c r="F28" s="479"/>
      <c r="G28" s="15"/>
      <c r="H28" s="15"/>
      <c r="I28" s="19"/>
      <c r="J28" s="15"/>
      <c r="K28" s="15"/>
      <c r="L28" s="19"/>
      <c r="M28" s="15"/>
      <c r="N28" s="15"/>
      <c r="O28" s="19"/>
      <c r="P28" s="479"/>
      <c r="Q28" s="15"/>
      <c r="R28" s="15"/>
      <c r="S28" s="19"/>
      <c r="T28" s="15"/>
      <c r="U28" s="15"/>
      <c r="V28" s="19"/>
      <c r="W28" s="15"/>
      <c r="X28" s="28"/>
      <c r="Y28" s="33"/>
    </row>
    <row r="29" spans="1:25" s="11" customFormat="1" x14ac:dyDescent="0.25">
      <c r="A29" s="14"/>
      <c r="B29" s="13"/>
      <c r="C29" s="15"/>
      <c r="D29" s="15"/>
      <c r="E29" s="15"/>
      <c r="F29" s="479"/>
      <c r="G29" s="15"/>
      <c r="H29" s="15"/>
      <c r="I29" s="19"/>
      <c r="J29" s="15"/>
      <c r="K29" s="15"/>
      <c r="L29" s="19"/>
      <c r="M29" s="15"/>
      <c r="N29" s="15"/>
      <c r="O29" s="19"/>
      <c r="P29" s="479"/>
      <c r="Q29" s="15"/>
      <c r="R29" s="15"/>
      <c r="S29" s="19"/>
      <c r="T29" s="15"/>
      <c r="U29" s="15"/>
      <c r="V29" s="19"/>
      <c r="W29" s="15"/>
      <c r="X29" s="28"/>
      <c r="Y29" s="33"/>
    </row>
    <row r="30" spans="1:25" s="11" customFormat="1" x14ac:dyDescent="0.25">
      <c r="A30" s="14"/>
      <c r="B30" s="13"/>
      <c r="C30" s="15"/>
      <c r="D30" s="15"/>
      <c r="E30" s="15"/>
      <c r="F30" s="479"/>
      <c r="G30" s="15"/>
      <c r="H30" s="15"/>
      <c r="I30" s="19"/>
      <c r="J30" s="15"/>
      <c r="K30" s="15"/>
      <c r="L30" s="19"/>
      <c r="M30" s="15"/>
      <c r="N30" s="15"/>
      <c r="O30" s="19"/>
      <c r="P30" s="479"/>
      <c r="Q30" s="15"/>
      <c r="R30" s="15"/>
      <c r="S30" s="19"/>
      <c r="T30" s="15"/>
      <c r="U30" s="15"/>
      <c r="V30" s="19"/>
      <c r="W30" s="15"/>
      <c r="X30" s="28"/>
      <c r="Y30" s="33"/>
    </row>
    <row r="31" spans="1:25" s="11" customFormat="1" x14ac:dyDescent="0.25">
      <c r="A31" s="14"/>
      <c r="B31" s="13"/>
      <c r="C31" s="15"/>
      <c r="D31" s="15"/>
      <c r="E31" s="15"/>
      <c r="F31" s="479"/>
      <c r="G31" s="15"/>
      <c r="H31" s="15"/>
      <c r="I31" s="19"/>
      <c r="J31" s="15"/>
      <c r="K31" s="15"/>
      <c r="L31" s="19"/>
      <c r="M31" s="15"/>
      <c r="N31" s="15"/>
      <c r="O31" s="19"/>
      <c r="P31" s="479"/>
      <c r="Q31" s="15"/>
      <c r="R31" s="15"/>
      <c r="S31" s="19"/>
      <c r="T31" s="15"/>
      <c r="U31" s="15"/>
      <c r="V31" s="19"/>
      <c r="W31" s="15"/>
      <c r="X31" s="28"/>
      <c r="Y31" s="33"/>
    </row>
    <row r="32" spans="1:25" s="11" customFormat="1" x14ac:dyDescent="0.25">
      <c r="A32" s="14"/>
      <c r="B32" s="13"/>
      <c r="C32" s="15"/>
      <c r="D32" s="15"/>
      <c r="E32" s="15"/>
      <c r="F32" s="479"/>
      <c r="G32" s="15"/>
      <c r="H32" s="15"/>
      <c r="I32" s="19"/>
      <c r="J32" s="15"/>
      <c r="K32" s="15"/>
      <c r="L32" s="19"/>
      <c r="M32" s="15"/>
      <c r="N32" s="15"/>
      <c r="O32" s="19"/>
      <c r="P32" s="479"/>
      <c r="Q32" s="15"/>
      <c r="R32" s="15"/>
      <c r="S32" s="19"/>
      <c r="T32" s="15"/>
      <c r="U32" s="15"/>
      <c r="V32" s="19"/>
      <c r="W32" s="15"/>
      <c r="X32" s="28"/>
      <c r="Y32" s="33"/>
    </row>
    <row r="33" spans="1:26" s="11" customFormat="1" x14ac:dyDescent="0.25">
      <c r="A33" s="14"/>
      <c r="B33" s="13"/>
      <c r="C33" s="15"/>
      <c r="D33" s="15"/>
      <c r="E33" s="15"/>
      <c r="F33" s="479"/>
      <c r="G33" s="15"/>
      <c r="H33" s="15"/>
      <c r="I33" s="19"/>
      <c r="J33" s="15"/>
      <c r="K33" s="15"/>
      <c r="L33" s="19"/>
      <c r="M33" s="15"/>
      <c r="N33" s="15"/>
      <c r="O33" s="19"/>
      <c r="P33" s="479"/>
      <c r="Q33" s="15"/>
      <c r="R33" s="15"/>
      <c r="S33" s="19"/>
      <c r="T33" s="15"/>
      <c r="U33" s="15"/>
      <c r="V33" s="19"/>
      <c r="W33" s="15"/>
      <c r="X33" s="28"/>
      <c r="Y33" s="33"/>
    </row>
    <row r="34" spans="1:26" s="11" customFormat="1" x14ac:dyDescent="0.25">
      <c r="A34" s="23"/>
      <c r="B34" s="24"/>
      <c r="C34" s="25"/>
      <c r="D34" s="25"/>
      <c r="E34" s="25"/>
      <c r="F34" s="479"/>
      <c r="G34" s="25"/>
      <c r="H34" s="25"/>
      <c r="I34" s="20"/>
      <c r="J34" s="25"/>
      <c r="K34" s="25"/>
      <c r="L34" s="20"/>
      <c r="M34" s="25"/>
      <c r="N34" s="25"/>
      <c r="O34" s="20"/>
      <c r="P34" s="479"/>
      <c r="Q34" s="25"/>
      <c r="R34" s="25"/>
      <c r="S34" s="19"/>
      <c r="T34" s="25"/>
      <c r="U34" s="25"/>
      <c r="V34" s="19"/>
      <c r="W34" s="25"/>
      <c r="X34" s="29"/>
      <c r="Y34" s="33"/>
    </row>
    <row r="35" spans="1:26" s="26" customFormat="1" x14ac:dyDescent="0.25">
      <c r="A35" s="31"/>
      <c r="B35" s="24"/>
      <c r="C35" s="35"/>
      <c r="D35" s="35"/>
      <c r="E35" s="35"/>
      <c r="F35" s="479"/>
      <c r="G35" s="35"/>
      <c r="H35" s="35"/>
      <c r="I35" s="36"/>
      <c r="J35" s="35"/>
      <c r="K35" s="35"/>
      <c r="L35" s="36"/>
      <c r="M35" s="35"/>
      <c r="N35" s="35"/>
      <c r="O35" s="36"/>
      <c r="P35" s="479"/>
      <c r="Q35" s="35"/>
      <c r="R35" s="35"/>
      <c r="S35" s="20"/>
      <c r="T35" s="35"/>
      <c r="U35" s="35"/>
      <c r="V35" s="20"/>
      <c r="W35" s="35"/>
      <c r="X35" s="37"/>
      <c r="Y35" s="38"/>
      <c r="Z35" s="30"/>
    </row>
    <row r="36" spans="1:26" s="11" customFormat="1" x14ac:dyDescent="0.25">
      <c r="A36" s="39"/>
      <c r="B36" s="40"/>
      <c r="C36" s="40"/>
      <c r="D36" s="39"/>
      <c r="E36" s="93"/>
      <c r="F36" s="480"/>
      <c r="G36" s="40"/>
      <c r="H36" s="39"/>
      <c r="I36" s="39"/>
      <c r="J36" s="39"/>
      <c r="K36" s="39"/>
      <c r="L36" s="39"/>
      <c r="M36" s="39"/>
      <c r="N36" s="39"/>
      <c r="O36" s="100"/>
      <c r="P36" s="480"/>
      <c r="Q36" s="40"/>
      <c r="R36" s="40"/>
      <c r="S36" s="40"/>
      <c r="T36" s="40"/>
      <c r="U36" s="39"/>
      <c r="V36" s="39"/>
      <c r="W36" s="26"/>
      <c r="X36" s="26"/>
      <c r="Y36" s="101"/>
    </row>
    <row r="37" spans="1:26" s="11" customFormat="1" x14ac:dyDescent="0.25">
      <c r="A37" s="39"/>
      <c r="B37" s="39"/>
      <c r="C37" s="39"/>
      <c r="D37" s="39"/>
      <c r="E37" s="87"/>
      <c r="F37" s="39"/>
      <c r="G37" s="39"/>
      <c r="H37" s="39"/>
      <c r="I37" s="39"/>
      <c r="J37" s="39"/>
      <c r="K37" s="39"/>
      <c r="L37" s="39"/>
      <c r="M37" s="87"/>
      <c r="N37" s="39"/>
      <c r="O37" s="88"/>
      <c r="P37" s="39"/>
      <c r="Q37" s="39"/>
      <c r="R37" s="39"/>
      <c r="S37" s="39"/>
      <c r="T37" s="39"/>
      <c r="U37" s="39"/>
      <c r="V37" s="39"/>
      <c r="W37" s="89"/>
      <c r="X37" s="26"/>
      <c r="Y37" s="26"/>
    </row>
    <row r="38" spans="1:26" s="11" customFormat="1" x14ac:dyDescent="0.25">
      <c r="A38" s="39"/>
      <c r="B38" s="464"/>
      <c r="C38" s="465"/>
      <c r="D38" s="466"/>
      <c r="E38" s="93"/>
      <c r="F38" s="39"/>
      <c r="G38" s="39"/>
      <c r="H38" s="39"/>
      <c r="I38" s="39"/>
      <c r="J38" s="39"/>
      <c r="K38" s="39"/>
      <c r="L38" s="39"/>
      <c r="M38" s="87"/>
      <c r="N38" s="39"/>
      <c r="O38" s="88"/>
      <c r="P38" s="39"/>
      <c r="Q38" s="39"/>
      <c r="R38" s="39"/>
      <c r="S38" s="39"/>
      <c r="T38" s="39"/>
      <c r="U38" s="39"/>
      <c r="V38" s="39"/>
      <c r="W38" s="89"/>
      <c r="X38" s="26"/>
      <c r="Y38" s="26"/>
    </row>
    <row r="39" spans="1:26" x14ac:dyDescent="0.25">
      <c r="A39" s="59"/>
      <c r="B39" s="59"/>
      <c r="C39" s="59"/>
      <c r="D39" s="59"/>
      <c r="E39" s="98"/>
      <c r="F39" s="59"/>
      <c r="G39" s="59"/>
      <c r="H39" s="59"/>
      <c r="I39" s="59"/>
      <c r="J39" s="59"/>
      <c r="K39" s="59"/>
      <c r="L39" s="59"/>
      <c r="M39" s="90"/>
      <c r="N39" s="90"/>
      <c r="O39" s="59"/>
      <c r="P39" s="59"/>
      <c r="Q39" s="59"/>
      <c r="R39" s="59"/>
      <c r="S39" s="59"/>
      <c r="T39" s="59"/>
      <c r="U39" s="59"/>
      <c r="V39" s="59"/>
      <c r="W39" s="52"/>
      <c r="X39" s="9"/>
      <c r="Y39" s="9"/>
    </row>
    <row r="40" spans="1:26" x14ac:dyDescent="0.25">
      <c r="A40" s="59"/>
      <c r="B40" s="467"/>
      <c r="C40" s="468"/>
      <c r="D40" s="469"/>
      <c r="E40" s="106"/>
      <c r="F40" s="59"/>
      <c r="G40" s="59"/>
      <c r="H40" s="59"/>
      <c r="I40" s="59"/>
      <c r="J40" s="59"/>
      <c r="K40" s="59"/>
      <c r="L40" s="59"/>
      <c r="M40" s="77"/>
      <c r="N40" s="59"/>
      <c r="O40" s="59"/>
      <c r="P40" s="59"/>
      <c r="Q40" s="59"/>
      <c r="R40" s="59"/>
      <c r="S40" s="59"/>
      <c r="T40" s="59"/>
      <c r="U40" s="59"/>
      <c r="V40" s="59"/>
      <c r="W40" s="52"/>
      <c r="X40" s="9"/>
      <c r="Y40" s="9"/>
    </row>
    <row r="41" spans="1:26" ht="41.25" customHeight="1" x14ac:dyDescent="0.25">
      <c r="A41" s="92"/>
      <c r="B41" s="92"/>
      <c r="C41" s="92"/>
      <c r="D41" s="92"/>
      <c r="E41" s="59"/>
      <c r="F41" s="59"/>
      <c r="G41" s="59"/>
      <c r="H41" s="59"/>
      <c r="I41" s="59"/>
      <c r="J41" s="59"/>
      <c r="K41" s="59"/>
      <c r="L41" s="59"/>
      <c r="M41" s="59"/>
      <c r="N41" s="59"/>
      <c r="O41" s="59"/>
      <c r="P41" s="59"/>
      <c r="Q41" s="59"/>
      <c r="R41" s="50"/>
      <c r="S41" s="91"/>
      <c r="T41" s="91"/>
      <c r="U41" s="91"/>
      <c r="V41" s="91"/>
      <c r="W41" s="43"/>
      <c r="X41" s="9"/>
      <c r="Y41" s="9"/>
    </row>
    <row r="42" spans="1:26" x14ac:dyDescent="0.25">
      <c r="A42" s="92"/>
      <c r="B42" s="109"/>
      <c r="C42" s="109"/>
      <c r="D42" s="92"/>
      <c r="E42" s="59"/>
      <c r="F42" s="59"/>
      <c r="G42" s="467"/>
      <c r="H42" s="468"/>
      <c r="I42" s="468"/>
      <c r="J42" s="468"/>
      <c r="K42" s="469"/>
      <c r="L42" s="59"/>
      <c r="M42" s="59"/>
      <c r="N42" s="59"/>
      <c r="O42" s="99"/>
      <c r="P42" s="59"/>
      <c r="Q42" s="94"/>
      <c r="R42" s="95"/>
      <c r="S42" s="95"/>
      <c r="T42" s="96"/>
      <c r="U42" s="104"/>
      <c r="V42" s="59"/>
      <c r="W42" s="9"/>
      <c r="X42" s="9"/>
      <c r="Y42" s="99"/>
    </row>
    <row r="43" spans="1:26" x14ac:dyDescent="0.25">
      <c r="A43" s="59"/>
      <c r="B43" s="59"/>
      <c r="C43" s="59"/>
      <c r="D43" s="59"/>
      <c r="E43" s="59"/>
      <c r="F43" s="59"/>
      <c r="G43" s="467"/>
      <c r="H43" s="468"/>
      <c r="I43" s="468"/>
      <c r="J43" s="468"/>
      <c r="K43" s="469"/>
      <c r="L43" s="75"/>
      <c r="M43" s="75"/>
      <c r="N43" s="75"/>
      <c r="O43" s="107"/>
      <c r="P43" s="59"/>
      <c r="Q43" s="470"/>
      <c r="R43" s="471"/>
      <c r="S43" s="471"/>
      <c r="T43" s="471"/>
      <c r="U43" s="471"/>
      <c r="V43" s="472"/>
      <c r="W43" s="9"/>
      <c r="X43" s="9"/>
      <c r="Y43" s="108"/>
    </row>
    <row r="44" spans="1:26" x14ac:dyDescent="0.25">
      <c r="A44" s="75"/>
      <c r="B44" s="59"/>
      <c r="C44" s="59"/>
      <c r="D44" s="59"/>
      <c r="E44" s="59"/>
      <c r="F44" s="59"/>
      <c r="G44" s="59"/>
      <c r="H44" s="59"/>
      <c r="I44" s="59"/>
      <c r="J44" s="59"/>
      <c r="K44" s="59"/>
      <c r="L44" s="59"/>
      <c r="M44" s="59"/>
      <c r="N44" s="59"/>
      <c r="O44" s="59"/>
      <c r="P44" s="59"/>
      <c r="Q44" s="59"/>
      <c r="R44" s="59"/>
      <c r="S44" s="59"/>
      <c r="T44" s="59"/>
      <c r="U44" s="59"/>
      <c r="V44" s="59"/>
      <c r="W44" s="9"/>
      <c r="X44" s="9"/>
      <c r="Y44" s="9"/>
    </row>
    <row r="45" spans="1:26" ht="54.75" customHeight="1" x14ac:dyDescent="0.25">
      <c r="A45" s="62"/>
      <c r="B45" s="62"/>
      <c r="C45" s="92"/>
      <c r="D45" s="62"/>
      <c r="E45" s="59"/>
      <c r="F45" s="59"/>
      <c r="G45" s="59"/>
      <c r="H45" s="59"/>
      <c r="I45" s="59"/>
      <c r="J45" s="59"/>
      <c r="K45" s="59"/>
      <c r="L45" s="59"/>
      <c r="M45" s="59"/>
      <c r="N45" s="59"/>
      <c r="O45" s="59"/>
      <c r="P45" s="59"/>
      <c r="Q45" s="59"/>
      <c r="R45" s="59"/>
      <c r="S45" s="59"/>
      <c r="T45" s="59"/>
      <c r="U45" s="59"/>
      <c r="V45" s="59"/>
      <c r="W45" s="9"/>
      <c r="X45" s="9"/>
      <c r="Y45" s="81"/>
    </row>
    <row r="46" spans="1:26" x14ac:dyDescent="0.25">
      <c r="A46" s="62"/>
      <c r="B46" s="62"/>
      <c r="C46" s="92"/>
      <c r="D46" s="92"/>
      <c r="E46" s="59"/>
      <c r="F46" s="59"/>
      <c r="G46" s="59"/>
      <c r="H46" s="59"/>
      <c r="I46" s="59"/>
      <c r="J46" s="59"/>
      <c r="K46" s="59"/>
      <c r="L46" s="59"/>
      <c r="M46" s="59"/>
      <c r="N46" s="59"/>
      <c r="O46" s="59"/>
      <c r="P46" s="59"/>
      <c r="Q46" s="59"/>
      <c r="R46" s="59"/>
      <c r="S46" s="59"/>
      <c r="T46" s="59"/>
      <c r="U46" s="59"/>
      <c r="V46" s="59"/>
      <c r="W46" s="9"/>
      <c r="X46" s="9"/>
      <c r="Y46" s="9"/>
    </row>
    <row r="47" spans="1:26" x14ac:dyDescent="0.25">
      <c r="A47" s="59"/>
      <c r="B47" s="59"/>
      <c r="C47" s="59"/>
      <c r="D47" s="59"/>
      <c r="E47" s="59"/>
      <c r="F47" s="59"/>
      <c r="G47" s="59"/>
      <c r="H47" s="59"/>
      <c r="I47" s="59"/>
      <c r="J47" s="59"/>
      <c r="K47" s="59"/>
      <c r="L47" s="59"/>
      <c r="M47" s="59"/>
      <c r="N47" s="59"/>
      <c r="O47" s="59"/>
      <c r="P47" s="59"/>
      <c r="Q47" s="59"/>
      <c r="R47" s="59"/>
      <c r="S47" s="59"/>
      <c r="T47" s="59"/>
      <c r="U47" s="59"/>
      <c r="V47" s="59"/>
      <c r="W47" s="9"/>
      <c r="X47" s="9"/>
      <c r="Y47" s="9"/>
    </row>
    <row r="48" spans="1:26" x14ac:dyDescent="0.25">
      <c r="A48" s="8"/>
      <c r="B48" s="8"/>
      <c r="C48" s="8"/>
      <c r="D48" s="8"/>
      <c r="E48" s="8"/>
      <c r="F48" s="8"/>
      <c r="G48" s="8"/>
      <c r="H48" s="8"/>
      <c r="I48" s="8"/>
      <c r="J48" s="8"/>
      <c r="K48" s="8"/>
      <c r="L48" s="8"/>
      <c r="M48" s="8"/>
      <c r="N48" s="8"/>
      <c r="O48" s="8"/>
      <c r="P48" s="8"/>
      <c r="Q48" s="8"/>
      <c r="R48" s="8"/>
      <c r="S48" s="8"/>
      <c r="T48" s="8"/>
      <c r="U48" s="8"/>
      <c r="V48" s="8"/>
    </row>
    <row r="49" spans="1:22" x14ac:dyDescent="0.25">
      <c r="A49" s="8"/>
      <c r="B49" s="8"/>
      <c r="C49" s="8"/>
      <c r="D49" s="8"/>
      <c r="E49" s="8"/>
      <c r="F49" s="8"/>
      <c r="G49" s="8"/>
      <c r="H49" s="8"/>
      <c r="I49" s="8"/>
      <c r="J49" s="8"/>
      <c r="K49" s="8"/>
      <c r="L49" s="8"/>
      <c r="M49" s="8"/>
      <c r="N49" s="8"/>
      <c r="O49" s="8"/>
      <c r="P49" s="8"/>
      <c r="Q49" s="8"/>
      <c r="R49" s="8"/>
      <c r="S49" s="8"/>
      <c r="T49" s="8"/>
      <c r="U49" s="8"/>
      <c r="V49" s="8"/>
    </row>
    <row r="50" spans="1:22" x14ac:dyDescent="0.25">
      <c r="A50" s="8"/>
      <c r="B50" s="8"/>
      <c r="C50" s="8"/>
      <c r="D50" s="8"/>
      <c r="E50" s="8"/>
      <c r="F50" s="8"/>
      <c r="G50" s="8"/>
      <c r="H50" s="8"/>
      <c r="I50" s="8"/>
      <c r="J50" s="8"/>
      <c r="K50" s="8"/>
      <c r="L50" s="8"/>
      <c r="M50" s="8"/>
      <c r="N50" s="8"/>
      <c r="O50" s="8"/>
      <c r="P50" s="8"/>
      <c r="Q50" s="8"/>
      <c r="R50" s="8"/>
      <c r="S50" s="8"/>
      <c r="T50" s="8"/>
      <c r="U50" s="8"/>
      <c r="V50" s="8"/>
    </row>
    <row r="51" spans="1:22" x14ac:dyDescent="0.25">
      <c r="A51" s="8"/>
      <c r="B51" s="8"/>
      <c r="C51" s="8"/>
      <c r="D51" s="8"/>
      <c r="E51" s="8"/>
      <c r="F51" s="8"/>
      <c r="G51" s="8"/>
      <c r="H51" s="8"/>
      <c r="I51" s="8"/>
      <c r="J51" s="8"/>
      <c r="K51" s="8"/>
      <c r="L51" s="8"/>
      <c r="M51" s="8"/>
      <c r="N51" s="8"/>
      <c r="O51" s="8"/>
      <c r="P51" s="8"/>
      <c r="Q51" s="8"/>
      <c r="R51" s="8"/>
      <c r="S51" s="8"/>
      <c r="T51" s="8"/>
      <c r="U51" s="8"/>
      <c r="V51" s="8"/>
    </row>
    <row r="52" spans="1:22" x14ac:dyDescent="0.25">
      <c r="A52" s="8"/>
      <c r="B52" s="8"/>
      <c r="C52" s="8"/>
      <c r="D52" s="8"/>
      <c r="E52" s="8"/>
      <c r="F52" s="8"/>
      <c r="G52" s="8"/>
      <c r="H52" s="8"/>
      <c r="I52" s="8"/>
      <c r="J52" s="8"/>
      <c r="K52" s="8"/>
      <c r="L52" s="8"/>
      <c r="M52" s="8"/>
      <c r="N52" s="8"/>
      <c r="O52" s="8"/>
      <c r="P52" s="8"/>
      <c r="Q52" s="8"/>
      <c r="R52" s="8"/>
      <c r="S52" s="8"/>
      <c r="T52" s="8"/>
      <c r="U52" s="8"/>
      <c r="V52" s="8"/>
    </row>
    <row r="53" spans="1:22" x14ac:dyDescent="0.25">
      <c r="A53" s="8"/>
      <c r="B53" s="8"/>
      <c r="C53" s="8"/>
      <c r="D53" s="8"/>
      <c r="E53" s="8"/>
      <c r="F53" s="8"/>
      <c r="G53" s="8"/>
      <c r="H53" s="8"/>
      <c r="I53" s="8"/>
      <c r="J53" s="8"/>
      <c r="K53" s="8"/>
      <c r="L53" s="8"/>
      <c r="M53" s="8"/>
      <c r="N53" s="8"/>
      <c r="O53" s="8"/>
      <c r="P53" s="8"/>
      <c r="Q53" s="8"/>
      <c r="R53" s="8"/>
      <c r="S53" s="8"/>
      <c r="T53" s="8"/>
      <c r="U53" s="8"/>
      <c r="V53" s="8"/>
    </row>
    <row r="54" spans="1:22" x14ac:dyDescent="0.25">
      <c r="A54" s="8"/>
      <c r="B54" s="8"/>
      <c r="C54" s="8"/>
      <c r="D54" s="8"/>
      <c r="E54" s="8"/>
      <c r="F54" s="8"/>
      <c r="G54" s="8"/>
      <c r="H54" s="8"/>
      <c r="I54" s="8"/>
      <c r="J54" s="8"/>
      <c r="K54" s="8"/>
      <c r="L54" s="8"/>
      <c r="M54" s="8"/>
      <c r="N54" s="8"/>
      <c r="O54" s="8"/>
      <c r="P54" s="8"/>
      <c r="Q54" s="8"/>
      <c r="R54" s="8"/>
      <c r="S54" s="8"/>
      <c r="T54" s="8"/>
      <c r="U54" s="8"/>
      <c r="V54" s="8"/>
    </row>
    <row r="55" spans="1:22" x14ac:dyDescent="0.25">
      <c r="A55" s="8"/>
      <c r="B55" s="8"/>
      <c r="C55" s="8"/>
      <c r="D55" s="8"/>
      <c r="E55" s="8"/>
      <c r="F55" s="8"/>
      <c r="G55" s="8"/>
      <c r="H55" s="8"/>
      <c r="I55" s="8"/>
      <c r="J55" s="8"/>
      <c r="K55" s="8"/>
      <c r="L55" s="8"/>
      <c r="M55" s="8"/>
      <c r="N55" s="8"/>
      <c r="O55" s="8"/>
      <c r="P55" s="8"/>
      <c r="Q55" s="8"/>
      <c r="R55" s="8"/>
      <c r="S55" s="8"/>
      <c r="T55" s="8"/>
      <c r="U55" s="8"/>
      <c r="V55" s="8"/>
    </row>
    <row r="56" spans="1:22" x14ac:dyDescent="0.25">
      <c r="A56" s="8"/>
      <c r="B56" s="8"/>
      <c r="C56" s="8"/>
      <c r="D56" s="8"/>
      <c r="E56" s="8"/>
      <c r="F56" s="8"/>
      <c r="G56" s="8"/>
      <c r="H56" s="8"/>
      <c r="I56" s="8"/>
      <c r="J56" s="8"/>
      <c r="K56" s="8"/>
      <c r="L56" s="8"/>
      <c r="M56" s="8"/>
      <c r="N56" s="8"/>
      <c r="O56" s="8"/>
      <c r="P56" s="8"/>
      <c r="Q56" s="8"/>
      <c r="R56" s="8"/>
      <c r="S56" s="8"/>
      <c r="T56" s="8"/>
      <c r="U56" s="8"/>
      <c r="V56" s="8"/>
    </row>
    <row r="57" spans="1:22" x14ac:dyDescent="0.25">
      <c r="A57" s="8"/>
      <c r="B57" s="8"/>
      <c r="C57" s="8"/>
      <c r="D57" s="8"/>
      <c r="E57" s="8"/>
      <c r="F57" s="8"/>
      <c r="G57" s="8"/>
      <c r="H57" s="8"/>
      <c r="I57" s="8"/>
      <c r="J57" s="8"/>
      <c r="K57" s="8"/>
      <c r="L57" s="8"/>
      <c r="M57" s="8"/>
      <c r="N57" s="8"/>
      <c r="O57" s="8"/>
      <c r="P57" s="8"/>
      <c r="Q57" s="8"/>
      <c r="R57" s="8"/>
      <c r="S57" s="8"/>
      <c r="T57" s="8"/>
      <c r="U57" s="8"/>
      <c r="V57" s="8"/>
    </row>
    <row r="58" spans="1:22" x14ac:dyDescent="0.25">
      <c r="A58" s="8"/>
      <c r="B58" s="8"/>
      <c r="C58" s="8"/>
      <c r="D58" s="8"/>
      <c r="E58" s="8"/>
      <c r="F58" s="8"/>
      <c r="G58" s="8"/>
      <c r="H58" s="8"/>
      <c r="I58" s="8"/>
      <c r="J58" s="8"/>
      <c r="K58" s="8"/>
      <c r="L58" s="8"/>
      <c r="M58" s="8"/>
      <c r="N58" s="8"/>
      <c r="O58" s="8"/>
      <c r="P58" s="8"/>
      <c r="Q58" s="8"/>
      <c r="R58" s="8"/>
      <c r="S58" s="8"/>
      <c r="T58" s="8"/>
      <c r="U58" s="8"/>
      <c r="V58" s="8"/>
    </row>
    <row r="59" spans="1:22" x14ac:dyDescent="0.25">
      <c r="A59" s="8"/>
      <c r="B59" s="8"/>
      <c r="C59" s="8"/>
      <c r="D59" s="8"/>
      <c r="E59" s="8"/>
      <c r="F59" s="8"/>
      <c r="G59" s="8"/>
      <c r="H59" s="8"/>
      <c r="I59" s="8"/>
      <c r="J59" s="8"/>
      <c r="K59" s="8"/>
      <c r="L59" s="8"/>
      <c r="M59" s="8"/>
      <c r="N59" s="8"/>
      <c r="O59" s="8"/>
      <c r="P59" s="8"/>
      <c r="Q59" s="8"/>
      <c r="R59" s="8"/>
      <c r="S59" s="8"/>
      <c r="T59" s="8"/>
      <c r="U59" s="8"/>
      <c r="V59" s="8"/>
    </row>
    <row r="60" spans="1:22" x14ac:dyDescent="0.25">
      <c r="A60" s="8"/>
      <c r="B60" s="8"/>
      <c r="C60" s="8"/>
      <c r="D60" s="8"/>
      <c r="E60" s="8"/>
      <c r="F60" s="8"/>
      <c r="G60" s="8"/>
      <c r="H60" s="8"/>
      <c r="I60" s="8"/>
      <c r="J60" s="8"/>
      <c r="K60" s="8"/>
      <c r="L60" s="8"/>
      <c r="M60" s="8"/>
      <c r="N60" s="8"/>
      <c r="O60" s="8"/>
      <c r="P60" s="8"/>
      <c r="Q60" s="8"/>
      <c r="R60" s="8"/>
      <c r="S60" s="8"/>
      <c r="T60" s="8"/>
      <c r="U60" s="8"/>
      <c r="V60" s="8"/>
    </row>
    <row r="61" spans="1:22" x14ac:dyDescent="0.25">
      <c r="A61" s="8"/>
      <c r="B61" s="8"/>
      <c r="C61" s="8"/>
      <c r="D61" s="8"/>
      <c r="E61" s="8"/>
      <c r="F61" s="8"/>
      <c r="G61" s="8"/>
      <c r="H61" s="8"/>
      <c r="I61" s="8"/>
      <c r="J61" s="8"/>
      <c r="K61" s="8"/>
      <c r="L61" s="8"/>
      <c r="M61" s="8"/>
      <c r="N61" s="8"/>
      <c r="O61" s="8"/>
      <c r="P61" s="8"/>
      <c r="Q61" s="8"/>
      <c r="R61" s="8"/>
      <c r="S61" s="8"/>
      <c r="T61" s="8"/>
      <c r="U61" s="8"/>
      <c r="V61" s="8"/>
    </row>
    <row r="62" spans="1:22" x14ac:dyDescent="0.25">
      <c r="A62" s="8"/>
      <c r="B62" s="8"/>
      <c r="C62" s="8"/>
      <c r="D62" s="8"/>
      <c r="E62" s="8"/>
      <c r="F62" s="8"/>
      <c r="G62" s="8"/>
      <c r="H62" s="8"/>
      <c r="I62" s="8"/>
      <c r="J62" s="8"/>
      <c r="K62" s="8"/>
      <c r="L62" s="8"/>
      <c r="M62" s="8"/>
      <c r="N62" s="8"/>
      <c r="O62" s="8"/>
      <c r="P62" s="8"/>
      <c r="Q62" s="8"/>
      <c r="R62" s="8"/>
      <c r="S62" s="8"/>
      <c r="T62" s="8"/>
      <c r="U62" s="8"/>
      <c r="V62" s="8"/>
    </row>
    <row r="63" spans="1:22" x14ac:dyDescent="0.25">
      <c r="A63" s="8"/>
      <c r="B63" s="8"/>
      <c r="C63" s="8"/>
      <c r="D63" s="8"/>
      <c r="E63" s="8"/>
      <c r="F63" s="8"/>
      <c r="G63" s="8"/>
      <c r="H63" s="8"/>
      <c r="I63" s="8"/>
      <c r="J63" s="8"/>
      <c r="K63" s="8"/>
      <c r="L63" s="8"/>
      <c r="M63" s="8"/>
      <c r="N63" s="8"/>
      <c r="O63" s="8"/>
      <c r="P63" s="8"/>
      <c r="Q63" s="8"/>
      <c r="R63" s="8"/>
      <c r="S63" s="8"/>
      <c r="T63" s="8"/>
      <c r="U63" s="8"/>
      <c r="V63" s="8"/>
    </row>
    <row r="64" spans="1:22" x14ac:dyDescent="0.25">
      <c r="A64" s="8"/>
      <c r="B64" s="8"/>
      <c r="C64" s="8"/>
      <c r="D64" s="8"/>
      <c r="E64" s="8"/>
      <c r="F64" s="8"/>
      <c r="G64" s="8"/>
      <c r="H64" s="8"/>
      <c r="I64" s="8"/>
      <c r="J64" s="8"/>
      <c r="K64" s="8"/>
      <c r="L64" s="8"/>
      <c r="M64" s="8"/>
      <c r="N64" s="8"/>
      <c r="O64" s="8"/>
      <c r="P64" s="8"/>
      <c r="Q64" s="8"/>
      <c r="R64" s="8"/>
      <c r="S64" s="8"/>
      <c r="T64" s="8"/>
      <c r="U64" s="8"/>
      <c r="V64" s="8"/>
    </row>
    <row r="65" spans="1:22" x14ac:dyDescent="0.25">
      <c r="A65" s="8"/>
      <c r="B65" s="8"/>
      <c r="C65" s="8"/>
      <c r="D65" s="8"/>
      <c r="E65" s="8"/>
      <c r="F65" s="8"/>
      <c r="G65" s="8"/>
      <c r="H65" s="8"/>
      <c r="I65" s="8"/>
      <c r="J65" s="8"/>
      <c r="K65" s="8"/>
      <c r="L65" s="8"/>
      <c r="M65" s="8"/>
      <c r="N65" s="8"/>
      <c r="O65" s="8"/>
      <c r="P65" s="8"/>
      <c r="Q65" s="8"/>
      <c r="R65" s="8"/>
      <c r="S65" s="8"/>
      <c r="T65" s="8"/>
      <c r="U65" s="8"/>
      <c r="V65" s="8"/>
    </row>
    <row r="66" spans="1:22" x14ac:dyDescent="0.25">
      <c r="A66" s="8"/>
      <c r="B66" s="8"/>
      <c r="C66" s="8"/>
      <c r="D66" s="8"/>
      <c r="E66" s="8"/>
      <c r="F66" s="8"/>
      <c r="G66" s="8"/>
      <c r="H66" s="8"/>
      <c r="I66" s="8"/>
      <c r="J66" s="8"/>
      <c r="K66" s="8"/>
      <c r="L66" s="8"/>
      <c r="M66" s="8"/>
      <c r="N66" s="8"/>
      <c r="O66" s="8"/>
      <c r="P66" s="8"/>
      <c r="Q66" s="8"/>
      <c r="R66" s="8"/>
      <c r="S66" s="8"/>
      <c r="T66" s="8"/>
      <c r="U66" s="8"/>
      <c r="V66" s="8"/>
    </row>
    <row r="67" spans="1:22" x14ac:dyDescent="0.25">
      <c r="A67" s="8"/>
      <c r="B67" s="8"/>
      <c r="C67" s="8"/>
      <c r="D67" s="8"/>
      <c r="E67" s="8"/>
      <c r="F67" s="8"/>
      <c r="G67" s="8"/>
      <c r="H67" s="8"/>
      <c r="I67" s="8"/>
      <c r="J67" s="8"/>
      <c r="K67" s="8"/>
      <c r="L67" s="8"/>
      <c r="M67" s="8"/>
      <c r="N67" s="8"/>
      <c r="O67" s="8"/>
      <c r="P67" s="8"/>
      <c r="Q67" s="8"/>
      <c r="R67" s="8"/>
      <c r="S67" s="8"/>
      <c r="T67" s="8"/>
      <c r="U67" s="8"/>
      <c r="V67" s="8"/>
    </row>
    <row r="68" spans="1:22" x14ac:dyDescent="0.25">
      <c r="A68" s="8"/>
      <c r="B68" s="8"/>
      <c r="C68" s="8"/>
      <c r="D68" s="8"/>
      <c r="E68" s="8"/>
      <c r="F68" s="8"/>
      <c r="G68" s="8"/>
      <c r="H68" s="8"/>
      <c r="I68" s="8"/>
      <c r="J68" s="8"/>
      <c r="K68" s="8"/>
      <c r="L68" s="8"/>
      <c r="M68" s="8"/>
      <c r="N68" s="8"/>
      <c r="O68" s="8"/>
      <c r="P68" s="8"/>
      <c r="Q68" s="8"/>
      <c r="R68" s="8"/>
      <c r="S68" s="8"/>
      <c r="T68" s="8"/>
      <c r="U68" s="8"/>
      <c r="V68" s="8"/>
    </row>
    <row r="69" spans="1:22" x14ac:dyDescent="0.25">
      <c r="A69" s="8"/>
      <c r="B69" s="8"/>
      <c r="C69" s="8"/>
      <c r="D69" s="8"/>
      <c r="E69" s="8"/>
      <c r="F69" s="8"/>
      <c r="G69" s="8"/>
      <c r="H69" s="8"/>
      <c r="I69" s="8"/>
      <c r="J69" s="8"/>
      <c r="K69" s="8"/>
      <c r="L69" s="8"/>
      <c r="M69" s="8"/>
      <c r="N69" s="8"/>
      <c r="O69" s="8"/>
      <c r="P69" s="8"/>
      <c r="Q69" s="8"/>
      <c r="R69" s="8"/>
      <c r="S69" s="8"/>
      <c r="T69" s="8"/>
      <c r="U69" s="8"/>
      <c r="V69" s="8"/>
    </row>
    <row r="70" spans="1:22" x14ac:dyDescent="0.25">
      <c r="A70" s="8"/>
      <c r="B70" s="8"/>
      <c r="C70" s="8"/>
      <c r="D70" s="8"/>
      <c r="E70" s="8"/>
      <c r="F70" s="8"/>
      <c r="G70" s="8"/>
      <c r="H70" s="8"/>
      <c r="I70" s="8"/>
      <c r="J70" s="8"/>
      <c r="K70" s="8"/>
      <c r="L70" s="8"/>
      <c r="M70" s="8"/>
      <c r="N70" s="8"/>
      <c r="O70" s="8"/>
      <c r="P70" s="8"/>
      <c r="Q70" s="8"/>
      <c r="R70" s="8"/>
      <c r="S70" s="8"/>
      <c r="T70" s="8"/>
      <c r="U70" s="8"/>
      <c r="V70" s="8"/>
    </row>
    <row r="71" spans="1:22" x14ac:dyDescent="0.25">
      <c r="A71" s="8"/>
      <c r="B71" s="8"/>
      <c r="C71" s="8"/>
      <c r="D71" s="8"/>
      <c r="E71" s="8"/>
      <c r="F71" s="8"/>
      <c r="G71" s="8"/>
      <c r="H71" s="8"/>
      <c r="I71" s="8"/>
      <c r="J71" s="8"/>
      <c r="K71" s="8"/>
      <c r="L71" s="8"/>
      <c r="M71" s="8"/>
      <c r="N71" s="8"/>
      <c r="O71" s="8"/>
      <c r="P71" s="8"/>
      <c r="Q71" s="8"/>
      <c r="R71" s="8"/>
      <c r="S71" s="8"/>
      <c r="T71" s="8"/>
      <c r="U71" s="8"/>
      <c r="V71" s="8"/>
    </row>
    <row r="72" spans="1:22" x14ac:dyDescent="0.25">
      <c r="A72" s="8"/>
      <c r="B72" s="8"/>
      <c r="C72" s="8"/>
      <c r="D72" s="8"/>
      <c r="E72" s="8"/>
      <c r="F72" s="8"/>
      <c r="G72" s="8"/>
      <c r="H72" s="8"/>
      <c r="I72" s="8"/>
      <c r="J72" s="8"/>
      <c r="K72" s="8"/>
      <c r="L72" s="8"/>
      <c r="M72" s="8"/>
      <c r="N72" s="8"/>
      <c r="O72" s="8"/>
      <c r="P72" s="8"/>
      <c r="Q72" s="8"/>
      <c r="R72" s="8"/>
      <c r="S72" s="8"/>
      <c r="T72" s="8"/>
      <c r="U72" s="8"/>
      <c r="V72" s="8"/>
    </row>
    <row r="73" spans="1:22" x14ac:dyDescent="0.25">
      <c r="A73" s="8"/>
      <c r="B73" s="8"/>
      <c r="C73" s="8"/>
      <c r="D73" s="8"/>
      <c r="E73" s="8"/>
      <c r="F73" s="8"/>
      <c r="G73" s="8"/>
      <c r="H73" s="8"/>
      <c r="I73" s="8"/>
      <c r="J73" s="8"/>
      <c r="K73" s="8"/>
      <c r="L73" s="8"/>
      <c r="M73" s="8"/>
      <c r="N73" s="8"/>
      <c r="O73" s="8"/>
      <c r="P73" s="8"/>
      <c r="Q73" s="8"/>
      <c r="R73" s="8"/>
      <c r="S73" s="8"/>
      <c r="T73" s="8"/>
      <c r="U73" s="8"/>
      <c r="V73" s="8"/>
    </row>
    <row r="74" spans="1:22" x14ac:dyDescent="0.25">
      <c r="A74" s="8"/>
      <c r="B74" s="8"/>
      <c r="C74" s="8"/>
      <c r="D74" s="8"/>
      <c r="E74" s="8"/>
      <c r="F74" s="8"/>
      <c r="G74" s="8"/>
      <c r="H74" s="8"/>
      <c r="I74" s="8"/>
      <c r="J74" s="8"/>
      <c r="K74" s="8"/>
      <c r="L74" s="8"/>
      <c r="M74" s="8"/>
      <c r="N74" s="8"/>
      <c r="O74" s="8"/>
      <c r="P74" s="8"/>
      <c r="Q74" s="8"/>
      <c r="R74" s="8"/>
      <c r="S74" s="8"/>
      <c r="T74" s="8"/>
      <c r="U74" s="8"/>
      <c r="V74" s="8"/>
    </row>
    <row r="75" spans="1:22" x14ac:dyDescent="0.25">
      <c r="A75" s="8"/>
      <c r="B75" s="8"/>
      <c r="C75" s="8"/>
      <c r="D75" s="8"/>
      <c r="E75" s="8"/>
      <c r="F75" s="8"/>
      <c r="G75" s="8"/>
      <c r="H75" s="8"/>
      <c r="I75" s="8"/>
      <c r="J75" s="8"/>
      <c r="K75" s="8"/>
      <c r="L75" s="8"/>
      <c r="M75" s="8"/>
      <c r="N75" s="8"/>
      <c r="O75" s="8"/>
      <c r="P75" s="8"/>
      <c r="Q75" s="8"/>
      <c r="R75" s="8"/>
      <c r="S75" s="8"/>
      <c r="T75" s="8"/>
      <c r="U75" s="8"/>
      <c r="V75" s="8"/>
    </row>
    <row r="76" spans="1:22" x14ac:dyDescent="0.25">
      <c r="A76" s="8"/>
      <c r="B76" s="8"/>
      <c r="C76" s="8"/>
      <c r="D76" s="8"/>
      <c r="E76" s="8"/>
      <c r="F76" s="8"/>
      <c r="G76" s="8"/>
      <c r="H76" s="8"/>
      <c r="I76" s="8"/>
      <c r="J76" s="8"/>
      <c r="K76" s="8"/>
      <c r="L76" s="8"/>
      <c r="M76" s="8"/>
      <c r="N76" s="8"/>
      <c r="O76" s="8"/>
      <c r="P76" s="8"/>
      <c r="Q76" s="8"/>
      <c r="R76" s="8"/>
      <c r="S76" s="8"/>
      <c r="T76" s="8"/>
      <c r="U76" s="8"/>
      <c r="V76" s="8"/>
    </row>
    <row r="77" spans="1:22" x14ac:dyDescent="0.25">
      <c r="A77" s="8"/>
      <c r="B77" s="8"/>
      <c r="C77" s="8"/>
      <c r="D77" s="8"/>
      <c r="E77" s="8"/>
      <c r="F77" s="8"/>
      <c r="G77" s="8"/>
      <c r="H77" s="8"/>
      <c r="I77" s="8"/>
      <c r="J77" s="8"/>
      <c r="K77" s="8"/>
      <c r="L77" s="8"/>
      <c r="M77" s="8"/>
      <c r="N77" s="8"/>
      <c r="O77" s="8"/>
      <c r="P77" s="8"/>
      <c r="Q77" s="8"/>
      <c r="R77" s="8"/>
      <c r="S77" s="8"/>
      <c r="T77" s="8"/>
      <c r="U77" s="8"/>
      <c r="V77" s="8"/>
    </row>
    <row r="78" spans="1:22" x14ac:dyDescent="0.25">
      <c r="A78" s="8"/>
      <c r="B78" s="8"/>
      <c r="C78" s="8"/>
      <c r="D78" s="8"/>
      <c r="E78" s="8"/>
      <c r="F78" s="8"/>
      <c r="G78" s="8"/>
      <c r="H78" s="8"/>
      <c r="I78" s="8"/>
      <c r="J78" s="8"/>
      <c r="K78" s="8"/>
      <c r="L78" s="8"/>
      <c r="M78" s="8"/>
      <c r="N78" s="8"/>
      <c r="O78" s="8"/>
      <c r="P78" s="8"/>
      <c r="Q78" s="8"/>
      <c r="R78" s="8"/>
      <c r="S78" s="8"/>
      <c r="T78" s="8"/>
      <c r="U78" s="8"/>
      <c r="V78" s="8"/>
    </row>
    <row r="79" spans="1:22" x14ac:dyDescent="0.25">
      <c r="A79" s="8"/>
      <c r="B79" s="8"/>
      <c r="C79" s="8"/>
      <c r="D79" s="8"/>
      <c r="E79" s="8"/>
      <c r="F79" s="8"/>
      <c r="G79" s="8"/>
      <c r="H79" s="8"/>
      <c r="I79" s="8"/>
      <c r="J79" s="8"/>
      <c r="K79" s="8"/>
      <c r="L79" s="8"/>
      <c r="M79" s="8"/>
      <c r="N79" s="8"/>
      <c r="O79" s="8"/>
      <c r="P79" s="8"/>
      <c r="Q79" s="8"/>
      <c r="R79" s="8"/>
      <c r="S79" s="8"/>
      <c r="T79" s="8"/>
      <c r="U79" s="8"/>
      <c r="V79" s="8"/>
    </row>
    <row r="80" spans="1:22" x14ac:dyDescent="0.25">
      <c r="A80" s="8"/>
      <c r="B80" s="8"/>
      <c r="C80" s="8"/>
      <c r="D80" s="8"/>
      <c r="E80" s="8"/>
      <c r="F80" s="8"/>
      <c r="G80" s="8"/>
      <c r="H80" s="8"/>
      <c r="I80" s="8"/>
      <c r="J80" s="8"/>
      <c r="K80" s="8"/>
      <c r="L80" s="8"/>
      <c r="M80" s="8"/>
      <c r="N80" s="8"/>
      <c r="O80" s="8"/>
      <c r="P80" s="8"/>
      <c r="Q80" s="8"/>
      <c r="R80" s="8"/>
      <c r="S80" s="8"/>
      <c r="T80" s="8"/>
      <c r="U80" s="8"/>
      <c r="V80" s="8"/>
    </row>
    <row r="81" spans="1:22" x14ac:dyDescent="0.25">
      <c r="A81" s="8"/>
      <c r="B81" s="8"/>
      <c r="C81" s="8"/>
      <c r="D81" s="8"/>
      <c r="E81" s="8"/>
      <c r="F81" s="8"/>
      <c r="G81" s="8"/>
      <c r="H81" s="8"/>
      <c r="I81" s="8"/>
      <c r="J81" s="8"/>
      <c r="K81" s="8"/>
      <c r="L81" s="8"/>
      <c r="M81" s="8"/>
      <c r="N81" s="8"/>
      <c r="O81" s="8"/>
      <c r="P81" s="8"/>
      <c r="Q81" s="8"/>
      <c r="R81" s="8"/>
      <c r="S81" s="8"/>
      <c r="T81" s="8"/>
      <c r="U81" s="8"/>
      <c r="V81" s="8"/>
    </row>
    <row r="82" spans="1:22" x14ac:dyDescent="0.25">
      <c r="A82" s="8"/>
      <c r="B82" s="8"/>
      <c r="C82" s="8"/>
      <c r="D82" s="8"/>
      <c r="E82" s="8"/>
      <c r="F82" s="8"/>
      <c r="G82" s="8"/>
      <c r="H82" s="8"/>
      <c r="I82" s="8"/>
      <c r="J82" s="8"/>
      <c r="K82" s="8"/>
      <c r="L82" s="8"/>
      <c r="M82" s="8"/>
      <c r="N82" s="8"/>
      <c r="O82" s="8"/>
      <c r="P82" s="8"/>
      <c r="Q82" s="8"/>
      <c r="R82" s="8"/>
      <c r="S82" s="8"/>
      <c r="T82" s="8"/>
      <c r="U82" s="8"/>
      <c r="V82" s="8"/>
    </row>
    <row r="83" spans="1:22" x14ac:dyDescent="0.25">
      <c r="A83" s="8"/>
      <c r="B83" s="8"/>
      <c r="C83" s="8"/>
      <c r="D83" s="8"/>
      <c r="E83" s="8"/>
      <c r="F83" s="8"/>
      <c r="G83" s="8"/>
      <c r="H83" s="8"/>
      <c r="I83" s="8"/>
      <c r="J83" s="8"/>
      <c r="K83" s="8"/>
      <c r="L83" s="8"/>
      <c r="M83" s="8"/>
      <c r="N83" s="8"/>
      <c r="O83" s="8"/>
      <c r="P83" s="8"/>
      <c r="Q83" s="8"/>
      <c r="R83" s="8"/>
      <c r="S83" s="8"/>
      <c r="T83" s="8"/>
      <c r="U83" s="8"/>
      <c r="V83" s="8"/>
    </row>
    <row r="84" spans="1:22" x14ac:dyDescent="0.25">
      <c r="A84" s="8"/>
      <c r="B84" s="8"/>
      <c r="C84" s="8"/>
      <c r="D84" s="8"/>
      <c r="E84" s="8"/>
      <c r="F84" s="8"/>
      <c r="G84" s="8"/>
      <c r="H84" s="8"/>
      <c r="I84" s="8"/>
      <c r="J84" s="8"/>
      <c r="K84" s="8"/>
      <c r="L84" s="8"/>
      <c r="M84" s="8"/>
      <c r="N84" s="8"/>
      <c r="O84" s="8"/>
      <c r="P84" s="8"/>
      <c r="Q84" s="8"/>
      <c r="R84" s="8"/>
      <c r="S84" s="8"/>
      <c r="T84" s="8"/>
      <c r="U84" s="8"/>
      <c r="V84" s="8"/>
    </row>
    <row r="85" spans="1:22" x14ac:dyDescent="0.25">
      <c r="A85" s="8"/>
      <c r="B85" s="8"/>
      <c r="C85" s="8"/>
      <c r="D85" s="8"/>
      <c r="E85" s="8"/>
      <c r="F85" s="8"/>
      <c r="G85" s="8"/>
      <c r="H85" s="8"/>
      <c r="I85" s="8"/>
      <c r="J85" s="8"/>
      <c r="K85" s="8"/>
      <c r="L85" s="8"/>
      <c r="M85" s="8"/>
      <c r="N85" s="8"/>
      <c r="O85" s="8"/>
      <c r="P85" s="8"/>
      <c r="Q85" s="8"/>
      <c r="R85" s="8"/>
      <c r="S85" s="8"/>
      <c r="T85" s="8"/>
      <c r="U85" s="8"/>
      <c r="V85" s="8"/>
    </row>
    <row r="86" spans="1:22" x14ac:dyDescent="0.25">
      <c r="A86" s="8"/>
      <c r="B86" s="8"/>
      <c r="C86" s="8"/>
      <c r="D86" s="8"/>
      <c r="E86" s="8"/>
      <c r="F86" s="8"/>
      <c r="G86" s="8"/>
      <c r="H86" s="8"/>
      <c r="I86" s="8"/>
      <c r="J86" s="8"/>
      <c r="K86" s="8"/>
      <c r="L86" s="8"/>
      <c r="M86" s="8"/>
      <c r="N86" s="8"/>
      <c r="O86" s="8"/>
      <c r="P86" s="8"/>
      <c r="Q86" s="8"/>
      <c r="R86" s="8"/>
      <c r="S86" s="8"/>
      <c r="T86" s="8"/>
      <c r="U86" s="8"/>
      <c r="V86" s="8"/>
    </row>
    <row r="87" spans="1:22" x14ac:dyDescent="0.25">
      <c r="A87" s="8"/>
      <c r="B87" s="8"/>
      <c r="C87" s="8"/>
      <c r="D87" s="8"/>
      <c r="E87" s="8"/>
      <c r="F87" s="8"/>
      <c r="G87" s="8"/>
      <c r="H87" s="8"/>
      <c r="I87" s="8"/>
      <c r="J87" s="8"/>
      <c r="K87" s="8"/>
      <c r="L87" s="8"/>
      <c r="M87" s="8"/>
      <c r="N87" s="8"/>
      <c r="O87" s="8"/>
      <c r="P87" s="8"/>
      <c r="Q87" s="8"/>
      <c r="R87" s="8"/>
      <c r="S87" s="8"/>
      <c r="T87" s="8"/>
      <c r="U87" s="8"/>
      <c r="V87" s="8"/>
    </row>
    <row r="88" spans="1:22" x14ac:dyDescent="0.25">
      <c r="A88" s="8"/>
      <c r="B88" s="8"/>
      <c r="C88" s="8"/>
      <c r="D88" s="8"/>
      <c r="E88" s="8"/>
      <c r="F88" s="8"/>
      <c r="G88" s="8"/>
      <c r="H88" s="8"/>
      <c r="I88" s="8"/>
      <c r="J88" s="8"/>
      <c r="K88" s="8"/>
      <c r="L88" s="8"/>
      <c r="M88" s="8"/>
      <c r="N88" s="8"/>
      <c r="O88" s="8"/>
      <c r="P88" s="8"/>
      <c r="Q88" s="8"/>
      <c r="R88" s="8"/>
      <c r="S88" s="8"/>
      <c r="T88" s="8"/>
      <c r="U88" s="8"/>
      <c r="V88" s="8"/>
    </row>
    <row r="89" spans="1:22" x14ac:dyDescent="0.25">
      <c r="A89" s="8"/>
      <c r="B89" s="8"/>
      <c r="C89" s="8"/>
      <c r="D89" s="8"/>
      <c r="E89" s="8"/>
      <c r="F89" s="8"/>
      <c r="G89" s="8"/>
      <c r="H89" s="8"/>
      <c r="I89" s="8"/>
      <c r="J89" s="8"/>
      <c r="K89" s="8"/>
      <c r="L89" s="8"/>
      <c r="M89" s="8"/>
      <c r="N89" s="8"/>
      <c r="O89" s="8"/>
      <c r="P89" s="8"/>
      <c r="Q89" s="8"/>
      <c r="R89" s="8"/>
      <c r="S89" s="8"/>
      <c r="T89" s="8"/>
      <c r="U89" s="8"/>
      <c r="V89" s="8"/>
    </row>
    <row r="90" spans="1:22" x14ac:dyDescent="0.25">
      <c r="A90" s="8"/>
      <c r="B90" s="8"/>
      <c r="C90" s="8"/>
      <c r="D90" s="8"/>
      <c r="E90" s="8"/>
      <c r="F90" s="8"/>
      <c r="G90" s="8"/>
      <c r="H90" s="8"/>
      <c r="I90" s="8"/>
      <c r="J90" s="8"/>
      <c r="K90" s="8"/>
      <c r="L90" s="8"/>
      <c r="M90" s="8"/>
      <c r="N90" s="8"/>
      <c r="O90" s="8"/>
      <c r="P90" s="8"/>
      <c r="Q90" s="8"/>
      <c r="R90" s="8"/>
      <c r="S90" s="8"/>
      <c r="T90" s="8"/>
      <c r="U90" s="8"/>
      <c r="V90" s="8"/>
    </row>
    <row r="91" spans="1:22" x14ac:dyDescent="0.25">
      <c r="A91" s="8"/>
      <c r="B91" s="8"/>
      <c r="C91" s="8"/>
      <c r="D91" s="8"/>
      <c r="E91" s="8"/>
      <c r="F91" s="8"/>
      <c r="G91" s="8"/>
      <c r="H91" s="8"/>
      <c r="I91" s="8"/>
      <c r="J91" s="8"/>
      <c r="K91" s="8"/>
      <c r="L91" s="8"/>
      <c r="M91" s="8"/>
      <c r="N91" s="8"/>
      <c r="O91" s="8"/>
      <c r="P91" s="8"/>
      <c r="Q91" s="8"/>
      <c r="R91" s="8"/>
      <c r="S91" s="8"/>
      <c r="T91" s="8"/>
      <c r="U91" s="8"/>
      <c r="V91" s="8"/>
    </row>
    <row r="92" spans="1:22" x14ac:dyDescent="0.25">
      <c r="A92" s="8"/>
      <c r="B92" s="8"/>
      <c r="C92" s="8"/>
      <c r="D92" s="8"/>
      <c r="E92" s="8"/>
      <c r="F92" s="8"/>
      <c r="G92" s="8"/>
      <c r="H92" s="8"/>
      <c r="I92" s="8"/>
      <c r="J92" s="8"/>
      <c r="K92" s="8"/>
      <c r="L92" s="8"/>
      <c r="M92" s="8"/>
      <c r="N92" s="8"/>
      <c r="O92" s="8"/>
      <c r="P92" s="8"/>
      <c r="Q92" s="8"/>
      <c r="R92" s="8"/>
      <c r="S92" s="8"/>
      <c r="T92" s="8"/>
      <c r="U92" s="8"/>
      <c r="V92" s="8"/>
    </row>
    <row r="93" spans="1:22" x14ac:dyDescent="0.25">
      <c r="A93" s="8"/>
      <c r="B93" s="8"/>
      <c r="C93" s="8"/>
      <c r="D93" s="8"/>
      <c r="E93" s="8"/>
      <c r="F93" s="8"/>
      <c r="G93" s="8"/>
      <c r="H93" s="8"/>
      <c r="I93" s="8"/>
      <c r="J93" s="8"/>
      <c r="K93" s="8"/>
      <c r="L93" s="8"/>
      <c r="M93" s="8"/>
      <c r="N93" s="8"/>
      <c r="O93" s="8"/>
      <c r="P93" s="8"/>
      <c r="Q93" s="8"/>
      <c r="R93" s="8"/>
      <c r="S93" s="8"/>
      <c r="T93" s="8"/>
      <c r="U93" s="8"/>
      <c r="V93" s="8"/>
    </row>
    <row r="94" spans="1:22" x14ac:dyDescent="0.25">
      <c r="A94" s="8"/>
      <c r="B94" s="8"/>
      <c r="C94" s="8"/>
      <c r="D94" s="8"/>
      <c r="E94" s="8"/>
      <c r="F94" s="8"/>
      <c r="G94" s="8"/>
      <c r="H94" s="8"/>
      <c r="I94" s="8"/>
      <c r="J94" s="8"/>
      <c r="K94" s="8"/>
      <c r="L94" s="8"/>
      <c r="M94" s="8"/>
      <c r="N94" s="8"/>
      <c r="O94" s="8"/>
      <c r="P94" s="8"/>
      <c r="Q94" s="8"/>
      <c r="R94" s="8"/>
      <c r="S94" s="8"/>
      <c r="T94" s="8"/>
      <c r="U94" s="8"/>
      <c r="V94" s="8"/>
    </row>
    <row r="95" spans="1:22" x14ac:dyDescent="0.25">
      <c r="A95" s="8"/>
      <c r="B95" s="8"/>
      <c r="C95" s="8"/>
      <c r="D95" s="8"/>
      <c r="E95" s="8"/>
      <c r="F95" s="8"/>
      <c r="G95" s="8"/>
      <c r="H95" s="8"/>
      <c r="I95" s="8"/>
      <c r="J95" s="8"/>
      <c r="K95" s="8"/>
      <c r="L95" s="8"/>
      <c r="M95" s="8"/>
      <c r="N95" s="8"/>
      <c r="O95" s="8"/>
      <c r="P95" s="8"/>
      <c r="Q95" s="8"/>
      <c r="R95" s="8"/>
      <c r="S95" s="8"/>
      <c r="T95" s="8"/>
      <c r="U95" s="8"/>
      <c r="V95" s="8"/>
    </row>
    <row r="96" spans="1:22" x14ac:dyDescent="0.25">
      <c r="A96" s="8"/>
      <c r="B96" s="8"/>
      <c r="C96" s="8"/>
      <c r="D96" s="8"/>
      <c r="E96" s="8"/>
      <c r="F96" s="8"/>
      <c r="G96" s="8"/>
      <c r="H96" s="8"/>
      <c r="I96" s="8"/>
      <c r="J96" s="8"/>
      <c r="K96" s="8"/>
      <c r="L96" s="8"/>
      <c r="M96" s="8"/>
      <c r="N96" s="8"/>
      <c r="O96" s="8"/>
      <c r="P96" s="8"/>
      <c r="Q96" s="8"/>
      <c r="R96" s="8"/>
      <c r="S96" s="8"/>
      <c r="T96" s="8"/>
      <c r="U96" s="8"/>
      <c r="V96" s="8"/>
    </row>
    <row r="97" spans="1:22" x14ac:dyDescent="0.25">
      <c r="A97" s="8"/>
      <c r="B97" s="8"/>
      <c r="C97" s="8"/>
      <c r="D97" s="8"/>
      <c r="E97" s="8"/>
      <c r="F97" s="8"/>
      <c r="G97" s="8"/>
      <c r="H97" s="8"/>
      <c r="I97" s="8"/>
      <c r="J97" s="8"/>
      <c r="K97" s="8"/>
      <c r="L97" s="8"/>
      <c r="M97" s="8"/>
      <c r="N97" s="8"/>
      <c r="O97" s="8"/>
      <c r="P97" s="8"/>
      <c r="Q97" s="8"/>
      <c r="R97" s="8"/>
      <c r="S97" s="8"/>
      <c r="T97" s="8"/>
      <c r="U97" s="8"/>
      <c r="V97" s="8"/>
    </row>
    <row r="98" spans="1:22" x14ac:dyDescent="0.25">
      <c r="A98" s="8"/>
      <c r="B98" s="8"/>
      <c r="C98" s="8"/>
      <c r="D98" s="8"/>
      <c r="E98" s="8"/>
      <c r="F98" s="8"/>
      <c r="G98" s="8"/>
      <c r="H98" s="8"/>
      <c r="I98" s="8"/>
      <c r="J98" s="8"/>
      <c r="K98" s="8"/>
      <c r="L98" s="8"/>
      <c r="M98" s="8"/>
      <c r="N98" s="8"/>
      <c r="O98" s="8"/>
      <c r="P98" s="8"/>
      <c r="Q98" s="8"/>
      <c r="R98" s="8"/>
      <c r="S98" s="8"/>
      <c r="T98" s="8"/>
      <c r="U98" s="8"/>
      <c r="V98" s="8"/>
    </row>
    <row r="99" spans="1:22" x14ac:dyDescent="0.25">
      <c r="A99" s="8"/>
      <c r="B99" s="8"/>
      <c r="C99" s="8"/>
      <c r="D99" s="8"/>
      <c r="E99" s="8"/>
      <c r="F99" s="8"/>
      <c r="G99" s="8"/>
      <c r="H99" s="8"/>
      <c r="I99" s="8"/>
      <c r="J99" s="8"/>
      <c r="K99" s="8"/>
      <c r="L99" s="8"/>
      <c r="M99" s="8"/>
      <c r="N99" s="8"/>
      <c r="O99" s="8"/>
      <c r="P99" s="8"/>
      <c r="Q99" s="8"/>
      <c r="R99" s="8"/>
      <c r="S99" s="8"/>
      <c r="T99" s="8"/>
      <c r="U99" s="8"/>
      <c r="V99" s="8"/>
    </row>
    <row r="100" spans="1:22" x14ac:dyDescent="0.25">
      <c r="A100" s="8"/>
      <c r="B100" s="8"/>
      <c r="C100" s="8"/>
      <c r="D100" s="8"/>
      <c r="E100" s="8"/>
      <c r="F100" s="8"/>
      <c r="G100" s="8"/>
      <c r="H100" s="8"/>
      <c r="I100" s="8"/>
      <c r="J100" s="8"/>
      <c r="K100" s="8"/>
      <c r="L100" s="8"/>
      <c r="M100" s="8"/>
      <c r="N100" s="8"/>
      <c r="O100" s="8"/>
      <c r="P100" s="8"/>
      <c r="Q100" s="8"/>
      <c r="R100" s="8"/>
      <c r="S100" s="8"/>
      <c r="T100" s="8"/>
      <c r="U100" s="8"/>
      <c r="V100" s="8"/>
    </row>
    <row r="101" spans="1:22" x14ac:dyDescent="0.25">
      <c r="A101" s="8"/>
      <c r="B101" s="8"/>
      <c r="C101" s="8"/>
      <c r="D101" s="8"/>
      <c r="E101" s="8"/>
      <c r="F101" s="8"/>
      <c r="G101" s="8"/>
      <c r="H101" s="8"/>
      <c r="I101" s="8"/>
      <c r="J101" s="8"/>
      <c r="K101" s="8"/>
      <c r="L101" s="8"/>
      <c r="M101" s="8"/>
      <c r="N101" s="8"/>
      <c r="O101" s="8"/>
      <c r="P101" s="8"/>
      <c r="Q101" s="8"/>
      <c r="R101" s="8"/>
      <c r="S101" s="8"/>
      <c r="T101" s="8"/>
      <c r="U101" s="8"/>
      <c r="V101" s="8"/>
    </row>
    <row r="102" spans="1:22" x14ac:dyDescent="0.25">
      <c r="A102" s="8"/>
      <c r="B102" s="8"/>
      <c r="C102" s="8"/>
      <c r="D102" s="8"/>
      <c r="E102" s="8"/>
      <c r="F102" s="8"/>
      <c r="G102" s="8"/>
      <c r="H102" s="8"/>
      <c r="I102" s="8"/>
      <c r="J102" s="8"/>
      <c r="K102" s="8"/>
      <c r="L102" s="8"/>
      <c r="M102" s="8"/>
      <c r="N102" s="8"/>
      <c r="O102" s="8"/>
      <c r="P102" s="8"/>
      <c r="Q102" s="8"/>
      <c r="R102" s="8"/>
      <c r="S102" s="8"/>
      <c r="T102" s="8"/>
      <c r="U102" s="8"/>
      <c r="V102" s="8"/>
    </row>
    <row r="103" spans="1:22" x14ac:dyDescent="0.25">
      <c r="A103" s="8"/>
      <c r="B103" s="8"/>
      <c r="C103" s="8"/>
      <c r="D103" s="8"/>
      <c r="E103" s="8"/>
      <c r="F103" s="8"/>
      <c r="G103" s="8"/>
      <c r="H103" s="8"/>
      <c r="I103" s="8"/>
      <c r="J103" s="8"/>
      <c r="K103" s="8"/>
      <c r="L103" s="8"/>
      <c r="M103" s="8"/>
      <c r="N103" s="8"/>
      <c r="O103" s="8"/>
      <c r="P103" s="8"/>
      <c r="Q103" s="8"/>
      <c r="R103" s="8"/>
      <c r="S103" s="8"/>
      <c r="T103" s="8"/>
      <c r="U103" s="8"/>
      <c r="V103" s="8"/>
    </row>
    <row r="104" spans="1:22" x14ac:dyDescent="0.25">
      <c r="A104" s="8"/>
      <c r="B104" s="8"/>
      <c r="C104" s="8"/>
      <c r="D104" s="8"/>
      <c r="E104" s="8"/>
      <c r="F104" s="8"/>
      <c r="G104" s="8"/>
      <c r="H104" s="8"/>
      <c r="I104" s="8"/>
      <c r="J104" s="8"/>
      <c r="K104" s="8"/>
      <c r="L104" s="8"/>
      <c r="M104" s="8"/>
      <c r="N104" s="8"/>
      <c r="O104" s="8"/>
      <c r="P104" s="8"/>
      <c r="Q104" s="8"/>
      <c r="R104" s="8"/>
      <c r="S104" s="8"/>
      <c r="T104" s="8"/>
      <c r="U104" s="8"/>
      <c r="V104" s="8"/>
    </row>
    <row r="105" spans="1:22" x14ac:dyDescent="0.25">
      <c r="A105" s="8"/>
      <c r="B105" s="8"/>
      <c r="C105" s="8"/>
      <c r="D105" s="8"/>
      <c r="E105" s="8"/>
      <c r="F105" s="8"/>
      <c r="G105" s="8"/>
      <c r="H105" s="8"/>
      <c r="I105" s="8"/>
      <c r="J105" s="8"/>
      <c r="K105" s="8"/>
      <c r="L105" s="8"/>
      <c r="M105" s="8"/>
      <c r="N105" s="8"/>
      <c r="O105" s="8"/>
      <c r="P105" s="8"/>
      <c r="Q105" s="8"/>
      <c r="R105" s="8"/>
      <c r="S105" s="8"/>
      <c r="T105" s="8"/>
      <c r="U105" s="8"/>
      <c r="V105" s="8"/>
    </row>
    <row r="106" spans="1:22" x14ac:dyDescent="0.25">
      <c r="A106" s="8"/>
      <c r="B106" s="8"/>
      <c r="C106" s="8"/>
      <c r="D106" s="8"/>
      <c r="E106" s="8"/>
      <c r="F106" s="8"/>
      <c r="G106" s="8"/>
      <c r="H106" s="8"/>
      <c r="I106" s="8"/>
      <c r="J106" s="8"/>
      <c r="K106" s="8"/>
      <c r="L106" s="8"/>
      <c r="M106" s="8"/>
      <c r="N106" s="8"/>
      <c r="O106" s="8"/>
      <c r="P106" s="8"/>
      <c r="Q106" s="8"/>
      <c r="R106" s="8"/>
      <c r="S106" s="8"/>
      <c r="T106" s="8"/>
      <c r="U106" s="8"/>
      <c r="V106" s="8"/>
    </row>
    <row r="107" spans="1:22" x14ac:dyDescent="0.25">
      <c r="A107" s="8"/>
      <c r="B107" s="8"/>
      <c r="C107" s="8"/>
      <c r="D107" s="8"/>
      <c r="E107" s="8"/>
      <c r="F107" s="8"/>
      <c r="G107" s="8"/>
      <c r="H107" s="8"/>
      <c r="I107" s="8"/>
      <c r="J107" s="8"/>
      <c r="K107" s="8"/>
      <c r="L107" s="8"/>
      <c r="M107" s="8"/>
      <c r="N107" s="8"/>
      <c r="O107" s="8"/>
      <c r="P107" s="8"/>
      <c r="Q107" s="8"/>
      <c r="R107" s="8"/>
      <c r="S107" s="8"/>
      <c r="T107" s="8"/>
      <c r="U107" s="8"/>
      <c r="V107" s="8"/>
    </row>
  </sheetData>
  <mergeCells count="12">
    <mergeCell ref="A17:A18"/>
    <mergeCell ref="B17:B18"/>
    <mergeCell ref="C17:E17"/>
    <mergeCell ref="G17:N17"/>
    <mergeCell ref="Q17:X17"/>
    <mergeCell ref="F18:F36"/>
    <mergeCell ref="P18:P36"/>
    <mergeCell ref="B38:D38"/>
    <mergeCell ref="G42:K42"/>
    <mergeCell ref="B40:D40"/>
    <mergeCell ref="G43:K43"/>
    <mergeCell ref="Q43:V4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A59D4-2BD7-407C-8A49-66700EF3E6EA}">
  <dimension ref="A1:L16"/>
  <sheetViews>
    <sheetView workbookViewId="0">
      <selection activeCell="E9" sqref="E9"/>
    </sheetView>
  </sheetViews>
  <sheetFormatPr defaultRowHeight="15" x14ac:dyDescent="0.25"/>
  <cols>
    <col min="1" max="2" width="30.42578125" customWidth="1"/>
    <col min="3" max="3" width="26.42578125" customWidth="1"/>
    <col min="4" max="4" width="19.140625" customWidth="1"/>
    <col min="5" max="5" width="27.42578125" customWidth="1"/>
    <col min="6" max="7" width="19.85546875" customWidth="1"/>
  </cols>
  <sheetData>
    <row r="1" spans="1:12" x14ac:dyDescent="0.25">
      <c r="A1" s="1"/>
      <c r="B1" s="1"/>
      <c r="C1" s="1"/>
      <c r="D1" s="1"/>
      <c r="E1" s="1" t="s">
        <v>7</v>
      </c>
      <c r="F1" s="1"/>
      <c r="G1" s="1"/>
    </row>
    <row r="2" spans="1:12" x14ac:dyDescent="0.25">
      <c r="A2" s="7"/>
      <c r="B2" s="7"/>
      <c r="C2" s="7"/>
      <c r="D2" s="7"/>
      <c r="E2" s="7" t="s">
        <v>9</v>
      </c>
      <c r="F2" s="7"/>
      <c r="G2" s="7"/>
      <c r="H2" s="7"/>
      <c r="I2" s="7"/>
      <c r="J2" s="7"/>
      <c r="K2" s="7"/>
      <c r="L2" s="7"/>
    </row>
    <row r="3" spans="1:12" x14ac:dyDescent="0.25">
      <c r="A3" s="6"/>
      <c r="C3" s="2"/>
      <c r="D3" s="2"/>
      <c r="E3" s="2" t="s">
        <v>2</v>
      </c>
      <c r="F3" s="2"/>
      <c r="G3" s="2"/>
    </row>
    <row r="4" spans="1:12" x14ac:dyDescent="0.25">
      <c r="A4" s="6"/>
      <c r="B4" s="3"/>
      <c r="C4" s="2"/>
      <c r="D4" s="2"/>
      <c r="E4" s="2" t="s">
        <v>41</v>
      </c>
      <c r="F4" s="2"/>
      <c r="G4" s="2"/>
    </row>
    <row r="5" spans="1:12" x14ac:dyDescent="0.25">
      <c r="A5" s="6"/>
      <c r="B5" s="3"/>
      <c r="C5" s="2"/>
      <c r="D5" s="2"/>
      <c r="E5" s="2" t="s">
        <v>109</v>
      </c>
      <c r="F5" s="2"/>
      <c r="G5" s="2"/>
    </row>
    <row r="6" spans="1:12" x14ac:dyDescent="0.25">
      <c r="A6" s="6"/>
      <c r="B6" s="3"/>
      <c r="C6" s="2"/>
      <c r="D6" s="2"/>
      <c r="E6" s="2" t="s">
        <v>3</v>
      </c>
      <c r="F6" s="2"/>
      <c r="G6" s="2"/>
    </row>
    <row r="7" spans="1:12" x14ac:dyDescent="0.25">
      <c r="A7" s="6"/>
      <c r="B7" s="3"/>
      <c r="C7" s="2"/>
      <c r="D7" s="2"/>
      <c r="E7" s="2" t="s">
        <v>4</v>
      </c>
      <c r="F7" s="2"/>
      <c r="G7" s="2"/>
    </row>
    <row r="8" spans="1:12" x14ac:dyDescent="0.25">
      <c r="A8" s="6"/>
      <c r="B8" s="3"/>
      <c r="C8" s="2"/>
      <c r="D8" s="2"/>
      <c r="E8" s="2" t="s">
        <v>5</v>
      </c>
      <c r="F8" s="2"/>
    </row>
    <row r="9" spans="1:12" x14ac:dyDescent="0.25">
      <c r="A9" s="6"/>
      <c r="B9" s="3"/>
      <c r="C9" s="2"/>
      <c r="D9" s="2"/>
      <c r="E9" s="2" t="s">
        <v>15</v>
      </c>
      <c r="F9" s="2"/>
    </row>
    <row r="10" spans="1:12" x14ac:dyDescent="0.25">
      <c r="A10" s="6"/>
      <c r="B10" s="3"/>
      <c r="C10" s="2"/>
      <c r="D10" s="2"/>
      <c r="E10" s="2" t="s">
        <v>6</v>
      </c>
      <c r="F10" s="2"/>
    </row>
    <row r="11" spans="1:12" x14ac:dyDescent="0.25">
      <c r="A11" s="6"/>
      <c r="B11" s="3"/>
      <c r="C11" s="2"/>
      <c r="D11" s="2"/>
      <c r="E11" s="2"/>
      <c r="F11" s="2"/>
    </row>
    <row r="12" spans="1:12" x14ac:dyDescent="0.25">
      <c r="A12" s="6"/>
      <c r="B12" s="3"/>
      <c r="C12" s="2"/>
      <c r="D12" s="2"/>
      <c r="E12" s="2"/>
      <c r="F12" s="2"/>
    </row>
    <row r="13" spans="1:12" x14ac:dyDescent="0.25">
      <c r="A13" s="6"/>
      <c r="B13" s="3"/>
      <c r="C13" s="2"/>
      <c r="D13" s="2"/>
      <c r="E13" s="2"/>
    </row>
    <row r="14" spans="1:12" x14ac:dyDescent="0.25">
      <c r="A14" s="6"/>
      <c r="B14" s="3"/>
      <c r="C14" s="2"/>
      <c r="D14" s="2"/>
      <c r="E14" s="2" t="s">
        <v>1</v>
      </c>
      <c r="F14" s="2"/>
      <c r="G14" s="2" t="s">
        <v>1</v>
      </c>
    </row>
    <row r="15" spans="1:12" x14ac:dyDescent="0.25">
      <c r="A15" s="6" t="s">
        <v>1</v>
      </c>
      <c r="B15" s="6"/>
      <c r="C15" s="2"/>
      <c r="D15" s="2"/>
      <c r="E15" s="2" t="s">
        <v>1</v>
      </c>
    </row>
    <row r="16" spans="1:12" x14ac:dyDescent="0.25">
      <c r="A16" s="2"/>
      <c r="B16" s="2"/>
      <c r="C16" s="2"/>
      <c r="D16" s="2"/>
      <c r="E16" s="2"/>
    </row>
  </sheetData>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CFCB7-625A-4160-9042-C08740E4702E}">
  <sheetPr>
    <tabColor rgb="FF0070C0"/>
  </sheetPr>
  <dimension ref="A1:Z158"/>
  <sheetViews>
    <sheetView zoomScale="90" zoomScaleNormal="90" workbookViewId="0">
      <selection activeCell="D14" sqref="D14"/>
    </sheetView>
  </sheetViews>
  <sheetFormatPr defaultRowHeight="15" x14ac:dyDescent="0.25"/>
  <cols>
    <col min="1" max="1" width="44.42578125" customWidth="1"/>
    <col min="2" max="2" width="15.28515625" customWidth="1"/>
    <col min="3" max="3" width="13.140625" customWidth="1"/>
    <col min="4" max="4" width="14.140625" customWidth="1"/>
    <col min="5" max="5" width="15.5703125" customWidth="1"/>
    <col min="6" max="7" width="15.140625" customWidth="1"/>
    <col min="8" max="8" width="13.42578125" style="1" customWidth="1"/>
    <col min="9" max="9" width="15.140625" customWidth="1"/>
    <col min="10" max="10" width="16.28515625" customWidth="1"/>
    <col min="11" max="11" width="16" customWidth="1"/>
    <col min="12" max="12" width="17.5703125" customWidth="1"/>
    <col min="13" max="13" width="14.28515625" customWidth="1"/>
    <col min="14" max="14" width="18.140625" customWidth="1"/>
  </cols>
  <sheetData>
    <row r="1" spans="1:26" ht="58.5" customHeight="1" x14ac:dyDescent="0.25">
      <c r="A1" s="220" t="s">
        <v>135</v>
      </c>
      <c r="B1" s="220" t="s">
        <v>43</v>
      </c>
      <c r="C1" s="221" t="s">
        <v>111</v>
      </c>
      <c r="D1" s="222" t="s">
        <v>131</v>
      </c>
      <c r="E1" s="56"/>
      <c r="F1" s="8"/>
      <c r="G1" s="147"/>
      <c r="H1" s="8"/>
      <c r="I1" s="441"/>
      <c r="J1" s="441"/>
      <c r="K1" s="441"/>
      <c r="L1" s="441"/>
      <c r="M1" s="441"/>
    </row>
    <row r="2" spans="1:26" x14ac:dyDescent="0.25">
      <c r="C2" s="1"/>
      <c r="D2" s="253"/>
      <c r="E2" s="8"/>
      <c r="F2" s="8"/>
      <c r="G2" s="8"/>
      <c r="H2" s="8"/>
      <c r="I2" s="49"/>
      <c r="J2" s="8"/>
      <c r="K2" s="8"/>
      <c r="L2" s="8"/>
      <c r="M2" s="8"/>
    </row>
    <row r="3" spans="1:26" x14ac:dyDescent="0.25">
      <c r="A3" s="75" t="s">
        <v>46</v>
      </c>
      <c r="B3" s="78">
        <f>B25+B64+B90</f>
        <v>7873519.6879999992</v>
      </c>
      <c r="C3" s="207">
        <f>B3/B8</f>
        <v>0.9813592684631296</v>
      </c>
      <c r="D3" s="227">
        <f>G28+G66+G92</f>
        <v>6.5612664066666664</v>
      </c>
      <c r="E3" s="235"/>
      <c r="F3" s="8"/>
      <c r="G3" s="8"/>
      <c r="H3" s="8"/>
      <c r="I3" s="49"/>
      <c r="J3" s="8"/>
      <c r="K3" s="8"/>
      <c r="L3" s="8"/>
      <c r="M3" s="8"/>
      <c r="N3" s="8"/>
    </row>
    <row r="4" spans="1:26" x14ac:dyDescent="0.25">
      <c r="A4" s="75"/>
      <c r="B4" s="75"/>
      <c r="C4" s="79"/>
      <c r="D4" s="140"/>
      <c r="E4" s="8"/>
      <c r="F4" s="8"/>
      <c r="G4" s="8"/>
      <c r="H4" s="8"/>
      <c r="I4" s="49"/>
      <c r="J4" s="8"/>
      <c r="K4" s="8"/>
      <c r="L4" s="8"/>
      <c r="M4" s="8"/>
      <c r="N4" s="8"/>
    </row>
    <row r="5" spans="1:26" x14ac:dyDescent="0.25">
      <c r="A5" s="75"/>
      <c r="B5" s="75"/>
      <c r="C5" s="75"/>
      <c r="D5" s="208"/>
      <c r="E5" s="8"/>
      <c r="F5" s="8"/>
      <c r="G5" s="8"/>
      <c r="H5" s="8"/>
      <c r="I5" s="49"/>
      <c r="J5" s="8"/>
      <c r="K5" s="8"/>
      <c r="L5" s="8"/>
      <c r="M5" s="8"/>
    </row>
    <row r="6" spans="1:26" x14ac:dyDescent="0.25">
      <c r="A6" s="75" t="s">
        <v>112</v>
      </c>
      <c r="B6" s="78">
        <f>B102</f>
        <v>149556.00000000003</v>
      </c>
      <c r="C6" s="207">
        <f>B6/B8</f>
        <v>1.8640731536870434E-2</v>
      </c>
      <c r="D6" s="227">
        <f>G104</f>
        <v>0.12463000000000002</v>
      </c>
      <c r="E6" s="235"/>
      <c r="F6" s="8"/>
      <c r="G6" s="8"/>
      <c r="H6" s="8"/>
      <c r="I6" s="49"/>
      <c r="J6" s="8"/>
      <c r="K6" s="8"/>
      <c r="L6" s="8"/>
      <c r="M6" s="8"/>
      <c r="N6" s="8"/>
      <c r="O6" s="8"/>
      <c r="P6" s="8"/>
      <c r="Q6" s="8"/>
      <c r="R6" s="8"/>
      <c r="S6" s="8"/>
      <c r="T6" s="8"/>
      <c r="U6" s="8"/>
      <c r="V6" s="8"/>
      <c r="W6" s="8"/>
      <c r="X6" s="8"/>
      <c r="Y6" s="8"/>
    </row>
    <row r="7" spans="1:26" x14ac:dyDescent="0.25">
      <c r="A7" s="254" t="s">
        <v>187</v>
      </c>
      <c r="B7" s="255">
        <f>G98+G99</f>
        <v>145200.00000000003</v>
      </c>
      <c r="C7" s="79"/>
      <c r="D7" s="256">
        <f>G105</f>
        <v>0.12100000000000002</v>
      </c>
      <c r="E7" s="8"/>
      <c r="F7" s="8"/>
      <c r="G7" s="8"/>
      <c r="H7" s="8"/>
      <c r="I7" s="49"/>
      <c r="J7" s="8"/>
      <c r="K7" s="8"/>
      <c r="L7" s="8"/>
      <c r="M7" s="8"/>
      <c r="N7" s="49"/>
      <c r="O7" s="8"/>
      <c r="P7" s="8"/>
      <c r="Q7" s="8"/>
      <c r="R7" s="8"/>
      <c r="S7" s="8"/>
      <c r="T7" s="8"/>
      <c r="U7" s="8"/>
      <c r="V7" s="8"/>
      <c r="W7" s="8"/>
      <c r="X7" s="8"/>
      <c r="Y7" s="8"/>
    </row>
    <row r="8" spans="1:26" x14ac:dyDescent="0.25">
      <c r="A8" s="75" t="s">
        <v>42</v>
      </c>
      <c r="B8" s="78">
        <f>B3+B6</f>
        <v>8023075.6879999992</v>
      </c>
      <c r="C8" s="79"/>
      <c r="D8" s="227">
        <f>SUM(D3+D6)</f>
        <v>6.6858964066666662</v>
      </c>
      <c r="E8" s="235"/>
      <c r="F8" s="8"/>
      <c r="G8" s="8"/>
      <c r="H8" s="8"/>
      <c r="I8" s="49"/>
      <c r="J8" s="8"/>
      <c r="K8" s="8"/>
      <c r="L8" s="8"/>
      <c r="M8" s="8"/>
      <c r="N8" s="49"/>
      <c r="O8" s="8"/>
      <c r="P8" s="8"/>
      <c r="Q8" s="8"/>
      <c r="R8" s="8"/>
      <c r="S8" s="8"/>
      <c r="T8" s="8"/>
      <c r="U8" s="8"/>
      <c r="V8" s="8"/>
      <c r="W8" s="8"/>
      <c r="X8" s="8"/>
      <c r="Y8" s="8"/>
    </row>
    <row r="9" spans="1:26" x14ac:dyDescent="0.25">
      <c r="A9" s="1"/>
      <c r="E9" s="8"/>
      <c r="F9" s="8"/>
      <c r="G9" s="8"/>
      <c r="H9" s="49"/>
      <c r="I9" s="8"/>
      <c r="J9" s="8"/>
      <c r="K9" s="8"/>
      <c r="L9" s="8"/>
      <c r="M9" s="8"/>
      <c r="N9" s="8"/>
      <c r="O9" s="8"/>
      <c r="P9" s="8"/>
      <c r="Q9" s="8"/>
      <c r="R9" s="8"/>
      <c r="S9" s="8"/>
      <c r="T9" s="8"/>
      <c r="U9" s="181"/>
      <c r="V9" s="122"/>
      <c r="W9" s="122"/>
      <c r="X9" s="122"/>
      <c r="Y9" s="121"/>
      <c r="Z9" s="121"/>
    </row>
    <row r="10" spans="1:26" ht="15.75" x14ac:dyDescent="0.25">
      <c r="A10" s="223" t="s">
        <v>136</v>
      </c>
      <c r="F10" s="10" t="s">
        <v>40</v>
      </c>
      <c r="G10" s="75">
        <v>3</v>
      </c>
      <c r="H10" s="1" t="s">
        <v>1</v>
      </c>
      <c r="M10" s="8"/>
      <c r="N10" s="8"/>
      <c r="O10" s="8"/>
      <c r="P10" s="8"/>
      <c r="Q10" s="8"/>
      <c r="R10" s="8"/>
      <c r="S10" s="8"/>
      <c r="T10" s="8"/>
      <c r="U10" s="181"/>
      <c r="V10" s="122"/>
      <c r="W10" s="122"/>
      <c r="X10" s="122"/>
      <c r="Y10" s="121"/>
      <c r="Z10" s="121"/>
    </row>
    <row r="11" spans="1:26" ht="66.75" customHeight="1" x14ac:dyDescent="0.25">
      <c r="A11" s="142" t="s">
        <v>208</v>
      </c>
      <c r="B11" s="144" t="s">
        <v>0</v>
      </c>
      <c r="C11" s="143" t="s">
        <v>146</v>
      </c>
      <c r="D11" s="143" t="s">
        <v>25</v>
      </c>
      <c r="E11" s="143" t="s">
        <v>20</v>
      </c>
      <c r="F11" s="143" t="s">
        <v>21</v>
      </c>
      <c r="G11" s="143" t="s">
        <v>105</v>
      </c>
      <c r="H11" s="113" t="s">
        <v>17</v>
      </c>
      <c r="U11" s="217"/>
      <c r="V11" s="121"/>
    </row>
    <row r="12" spans="1:26" s="8" customFormat="1" x14ac:dyDescent="0.25">
      <c r="A12" s="50" t="s">
        <v>28</v>
      </c>
      <c r="B12" s="9"/>
      <c r="C12" s="119"/>
      <c r="D12" s="58">
        <f>$G$10</f>
        <v>3</v>
      </c>
      <c r="E12" s="58">
        <v>20</v>
      </c>
      <c r="F12" s="65">
        <f>D12*E12</f>
        <v>60</v>
      </c>
      <c r="G12" s="110"/>
      <c r="H12" s="120" t="s">
        <v>18</v>
      </c>
      <c r="U12" s="181"/>
      <c r="V12" s="122"/>
    </row>
    <row r="13" spans="1:26" s="8" customFormat="1" x14ac:dyDescent="0.25">
      <c r="A13" s="50" t="s">
        <v>78</v>
      </c>
      <c r="B13" s="9"/>
      <c r="C13" s="185"/>
      <c r="D13" s="58">
        <f>$G$10</f>
        <v>3</v>
      </c>
      <c r="E13" s="58">
        <v>400</v>
      </c>
      <c r="F13" s="65">
        <f>D13*E13</f>
        <v>1200</v>
      </c>
      <c r="G13" s="110"/>
      <c r="H13" s="120" t="s">
        <v>18</v>
      </c>
      <c r="U13" s="181"/>
      <c r="V13" s="122"/>
    </row>
    <row r="14" spans="1:26" s="8" customFormat="1" x14ac:dyDescent="0.25">
      <c r="A14" s="50" t="s">
        <v>26</v>
      </c>
      <c r="B14" s="9" t="s">
        <v>3</v>
      </c>
      <c r="C14" s="185">
        <f>'Prices_non-Labor'!$G$12</f>
        <v>1.4520000000000002</v>
      </c>
      <c r="D14" s="58">
        <v>1</v>
      </c>
      <c r="E14" s="58">
        <f>SUM(E12:E13)*D14</f>
        <v>420</v>
      </c>
      <c r="F14" s="62">
        <f>E14</f>
        <v>420</v>
      </c>
      <c r="G14" s="189">
        <f>F14*C14</f>
        <v>609.84</v>
      </c>
      <c r="H14" s="120" t="s">
        <v>16</v>
      </c>
      <c r="U14" s="181"/>
      <c r="V14" s="122"/>
    </row>
    <row r="15" spans="1:26" s="8" customFormat="1" x14ac:dyDescent="0.25">
      <c r="A15" s="50" t="s">
        <v>79</v>
      </c>
      <c r="B15" s="9" t="s">
        <v>3</v>
      </c>
      <c r="C15" s="185">
        <f>'Prices_non-Labor'!$G$13</f>
        <v>1.2100000000000002</v>
      </c>
      <c r="D15" s="58">
        <v>0.2</v>
      </c>
      <c r="E15" s="58">
        <v>420</v>
      </c>
      <c r="F15" s="62">
        <f>E15*D15</f>
        <v>84</v>
      </c>
      <c r="G15" s="189">
        <f t="shared" ref="G15:G22" si="0">F15*C15</f>
        <v>101.64000000000001</v>
      </c>
      <c r="H15" s="120" t="s">
        <v>16</v>
      </c>
      <c r="U15" s="181"/>
      <c r="V15" s="122"/>
    </row>
    <row r="16" spans="1:26" x14ac:dyDescent="0.25">
      <c r="A16" s="50" t="s">
        <v>29</v>
      </c>
      <c r="B16" s="9" t="s">
        <v>3</v>
      </c>
      <c r="C16" s="185">
        <f>'Prices_non-Labor'!$G$11</f>
        <v>1.2100000000000002</v>
      </c>
      <c r="D16" s="61">
        <v>1</v>
      </c>
      <c r="E16" s="57">
        <f>$E$12</f>
        <v>20</v>
      </c>
      <c r="F16" s="9">
        <f t="shared" ref="F16:F22" si="1">SUM(E16*D16)</f>
        <v>20</v>
      </c>
      <c r="G16" s="189">
        <f t="shared" si="0"/>
        <v>24.200000000000003</v>
      </c>
      <c r="H16" s="120" t="s">
        <v>16</v>
      </c>
      <c r="U16" s="217"/>
      <c r="V16" s="121"/>
    </row>
    <row r="17" spans="1:22" x14ac:dyDescent="0.25">
      <c r="A17" s="50" t="s">
        <v>83</v>
      </c>
      <c r="B17" s="9" t="s">
        <v>3</v>
      </c>
      <c r="C17" s="185">
        <f>'Prices_non-Labor'!$G$11</f>
        <v>1.2100000000000002</v>
      </c>
      <c r="D17" s="61">
        <v>1</v>
      </c>
      <c r="E17" s="57">
        <f>$E$13</f>
        <v>400</v>
      </c>
      <c r="F17" s="9">
        <f t="shared" si="1"/>
        <v>400</v>
      </c>
      <c r="G17" s="189">
        <f t="shared" si="0"/>
        <v>484.00000000000006</v>
      </c>
      <c r="H17" s="120" t="s">
        <v>16</v>
      </c>
      <c r="I17" s="205"/>
      <c r="U17" s="217"/>
      <c r="V17" s="121"/>
    </row>
    <row r="18" spans="1:22" x14ac:dyDescent="0.25">
      <c r="A18" s="50" t="s">
        <v>28</v>
      </c>
      <c r="B18" s="9" t="s">
        <v>41</v>
      </c>
      <c r="C18" s="185">
        <f>'Prices_non-Labor'!$G$36</f>
        <v>36.070600000000006</v>
      </c>
      <c r="D18" s="61">
        <v>1</v>
      </c>
      <c r="E18" s="57">
        <f>$E$12</f>
        <v>20</v>
      </c>
      <c r="F18" s="9">
        <f t="shared" si="1"/>
        <v>20</v>
      </c>
      <c r="G18" s="189">
        <f t="shared" si="0"/>
        <v>721.41200000000015</v>
      </c>
      <c r="H18" s="120" t="s">
        <v>16</v>
      </c>
      <c r="U18" s="217"/>
      <c r="V18" s="121"/>
    </row>
    <row r="19" spans="1:22" x14ac:dyDescent="0.25">
      <c r="A19" s="50" t="s">
        <v>78</v>
      </c>
      <c r="B19" s="9" t="s">
        <v>41</v>
      </c>
      <c r="C19" s="185">
        <f>'Prices_non-Labor'!$G$36</f>
        <v>36.070600000000006</v>
      </c>
      <c r="D19" s="61">
        <v>1</v>
      </c>
      <c r="E19" s="57">
        <f>$E$13</f>
        <v>400</v>
      </c>
      <c r="F19" s="9">
        <f t="shared" si="1"/>
        <v>400</v>
      </c>
      <c r="G19" s="189">
        <f t="shared" si="0"/>
        <v>14428.240000000002</v>
      </c>
      <c r="H19" s="120" t="s">
        <v>16</v>
      </c>
      <c r="I19" s="205"/>
    </row>
    <row r="20" spans="1:22" x14ac:dyDescent="0.25">
      <c r="A20" s="50" t="s">
        <v>28</v>
      </c>
      <c r="B20" s="9" t="s">
        <v>109</v>
      </c>
      <c r="C20" s="185">
        <f>'Prices_non-Labor'!$G$35</f>
        <v>25.461600000000001</v>
      </c>
      <c r="D20" s="58">
        <f>$G$10</f>
        <v>3</v>
      </c>
      <c r="E20" s="57">
        <f>$E$12</f>
        <v>20</v>
      </c>
      <c r="F20" s="9">
        <f t="shared" si="1"/>
        <v>60</v>
      </c>
      <c r="G20" s="189">
        <f t="shared" si="0"/>
        <v>1527.6960000000001</v>
      </c>
      <c r="H20" s="61" t="s">
        <v>16</v>
      </c>
    </row>
    <row r="21" spans="1:22" x14ac:dyDescent="0.25">
      <c r="A21" s="50" t="s">
        <v>78</v>
      </c>
      <c r="B21" s="9" t="s">
        <v>109</v>
      </c>
      <c r="C21" s="185">
        <f>'Prices_non-Labor'!$G$35</f>
        <v>25.461600000000001</v>
      </c>
      <c r="D21" s="58">
        <f>$G$10</f>
        <v>3</v>
      </c>
      <c r="E21" s="57">
        <f>$E$13</f>
        <v>400</v>
      </c>
      <c r="F21" s="9">
        <f t="shared" si="1"/>
        <v>1200</v>
      </c>
      <c r="G21" s="189">
        <f t="shared" si="0"/>
        <v>30553.920000000002</v>
      </c>
      <c r="H21" s="61" t="s">
        <v>16</v>
      </c>
    </row>
    <row r="22" spans="1:22" x14ac:dyDescent="0.25">
      <c r="A22" s="50" t="s">
        <v>39</v>
      </c>
      <c r="B22" s="9" t="s">
        <v>15</v>
      </c>
      <c r="C22" s="185">
        <f>'Prices_non-Labor'!G24</f>
        <v>133.10000000000005</v>
      </c>
      <c r="D22" s="58">
        <f>$G$10</f>
        <v>3</v>
      </c>
      <c r="E22" s="57">
        <f>$E$12</f>
        <v>20</v>
      </c>
      <c r="F22" s="9">
        <f t="shared" si="1"/>
        <v>60</v>
      </c>
      <c r="G22" s="189">
        <f t="shared" si="0"/>
        <v>7986.0000000000027</v>
      </c>
      <c r="H22" s="61" t="s">
        <v>16</v>
      </c>
    </row>
    <row r="23" spans="1:22" x14ac:dyDescent="0.25">
      <c r="A23" s="168"/>
      <c r="D23" s="8"/>
      <c r="E23" s="149"/>
      <c r="F23" s="174"/>
      <c r="G23" s="64"/>
      <c r="H23" s="64"/>
      <c r="K23" s="72"/>
      <c r="L23" s="64"/>
    </row>
    <row r="24" spans="1:22" ht="15" customHeight="1" x14ac:dyDescent="0.25">
      <c r="A24" s="175" t="s">
        <v>73</v>
      </c>
      <c r="B24" s="176" t="s">
        <v>32</v>
      </c>
      <c r="C24" s="176"/>
      <c r="D24" s="175" t="s">
        <v>69</v>
      </c>
      <c r="E24" s="175"/>
      <c r="F24" s="175"/>
      <c r="G24" s="176" t="s">
        <v>32</v>
      </c>
      <c r="H24" s="175" t="s">
        <v>70</v>
      </c>
      <c r="I24" s="175"/>
      <c r="J24" s="175"/>
      <c r="K24" s="176" t="s">
        <v>32</v>
      </c>
      <c r="L24" s="177" t="s">
        <v>45</v>
      </c>
    </row>
    <row r="25" spans="1:22" x14ac:dyDescent="0.25">
      <c r="A25" s="59" t="s">
        <v>71</v>
      </c>
      <c r="B25" s="186">
        <f>SUM(G14:G22)</f>
        <v>56436.948000000004</v>
      </c>
      <c r="C25" s="85"/>
      <c r="D25" s="50" t="s">
        <v>55</v>
      </c>
      <c r="E25" s="59"/>
      <c r="F25" s="50"/>
      <c r="G25" s="191">
        <f>B25/'Demographic Data'!B2</f>
        <v>564.36948000000007</v>
      </c>
      <c r="H25" s="115" t="s">
        <v>57</v>
      </c>
      <c r="I25" s="116"/>
      <c r="J25" s="117"/>
      <c r="K25" s="71">
        <f>SUMIFS($G$12:$G$22, $B$12:$B$22, "Materials", $H$12:$H$22, "Yes")</f>
        <v>1219.68</v>
      </c>
      <c r="L25" s="97">
        <f>K25/$B$25</f>
        <v>2.1611374165732705E-2</v>
      </c>
    </row>
    <row r="26" spans="1:22" x14ac:dyDescent="0.25">
      <c r="A26" s="59"/>
      <c r="B26" s="65"/>
      <c r="C26" s="65"/>
      <c r="D26" s="50" t="s">
        <v>56</v>
      </c>
      <c r="E26" s="59"/>
      <c r="F26" s="50"/>
      <c r="G26" s="192">
        <f>B25/'Demographic Data'!B3</f>
        <v>5.6436948000000005</v>
      </c>
      <c r="H26" s="115" t="s">
        <v>59</v>
      </c>
      <c r="I26" s="116"/>
      <c r="J26" s="117"/>
      <c r="K26" s="71">
        <f>SUMIFS($G$12:$G$22, $B$12:$B$22, "Transportation", $H$12:$H$22, "Yes")</f>
        <v>15149.652000000002</v>
      </c>
      <c r="L26" s="97">
        <f>K26/$B$25</f>
        <v>0.26843499758349798</v>
      </c>
    </row>
    <row r="27" spans="1:22" x14ac:dyDescent="0.25">
      <c r="A27" s="59"/>
      <c r="B27" s="74"/>
      <c r="C27" s="82"/>
      <c r="D27" s="50" t="s">
        <v>58</v>
      </c>
      <c r="E27" s="59"/>
      <c r="F27" s="50"/>
      <c r="G27" s="192">
        <f>B25/'Demographic Data'!B4</f>
        <v>1.8812316000000002</v>
      </c>
      <c r="H27" s="115" t="s">
        <v>110</v>
      </c>
      <c r="I27" s="116"/>
      <c r="J27" s="117"/>
      <c r="K27" s="71">
        <f>SUMIFS($G$12:$G$22, $B$12:$B$22, "Meals/Per Diem", $H$12:$H$22, "Yes")</f>
        <v>32081.616000000002</v>
      </c>
      <c r="L27" s="97">
        <f>K27/$B$25</f>
        <v>0.56845058311799568</v>
      </c>
    </row>
    <row r="28" spans="1:22" x14ac:dyDescent="0.25">
      <c r="A28" s="8"/>
      <c r="B28" s="8"/>
      <c r="C28" s="8"/>
      <c r="D28" s="50" t="s">
        <v>60</v>
      </c>
      <c r="E28" s="59"/>
      <c r="F28" s="75"/>
      <c r="G28" s="134">
        <f>B25/'Demographic Data'!B5</f>
        <v>4.7030790000000003E-2</v>
      </c>
      <c r="H28" s="433" t="s">
        <v>61</v>
      </c>
      <c r="I28" s="433"/>
      <c r="J28" s="433"/>
      <c r="K28" s="71">
        <f>SUMIFS($G$12:$G$22, $B$12:$B$22, "Facilities", $H$12:$H$22, "Yes")</f>
        <v>7986.0000000000027</v>
      </c>
      <c r="L28" s="97">
        <f>K28/$B$25</f>
        <v>0.1415030451327737</v>
      </c>
    </row>
    <row r="29" spans="1:22" x14ac:dyDescent="0.25">
      <c r="A29" s="8"/>
      <c r="B29" s="8"/>
      <c r="C29" s="8"/>
      <c r="D29" s="168"/>
      <c r="E29" s="8"/>
      <c r="F29" s="49"/>
      <c r="G29" s="73"/>
      <c r="H29" s="182"/>
      <c r="I29" s="432"/>
      <c r="J29" s="432"/>
      <c r="K29" s="432"/>
      <c r="L29" s="67"/>
      <c r="M29" s="67"/>
      <c r="N29" s="69"/>
    </row>
    <row r="30" spans="1:22" x14ac:dyDescent="0.25">
      <c r="D30" s="168"/>
      <c r="E30" s="8"/>
      <c r="F30" s="49"/>
      <c r="G30" s="73"/>
      <c r="H30" s="8"/>
      <c r="I30" s="8"/>
      <c r="J30" s="8"/>
      <c r="K30" s="8"/>
      <c r="L30" s="67"/>
      <c r="M30" s="67"/>
      <c r="N30" s="69"/>
    </row>
    <row r="31" spans="1:22" x14ac:dyDescent="0.25">
      <c r="A31" s="8"/>
      <c r="B31" s="8"/>
      <c r="C31" s="8"/>
      <c r="D31" s="183"/>
      <c r="E31" s="70"/>
      <c r="F31" s="184"/>
      <c r="G31" s="8"/>
      <c r="H31" s="70"/>
      <c r="I31" s="70"/>
      <c r="J31" s="70"/>
      <c r="K31" s="145"/>
      <c r="L31" s="103"/>
      <c r="M31" s="41"/>
      <c r="N31" s="41"/>
      <c r="V31" s="42"/>
    </row>
    <row r="32" spans="1:22" x14ac:dyDescent="0.25">
      <c r="A32" s="8"/>
      <c r="B32" s="8"/>
      <c r="C32" s="8"/>
      <c r="D32" s="8"/>
      <c r="E32" s="70"/>
      <c r="F32" s="184"/>
      <c r="G32" s="8"/>
      <c r="H32" s="70"/>
      <c r="I32" s="70"/>
      <c r="J32" s="70"/>
      <c r="K32" s="145"/>
      <c r="L32" s="103"/>
      <c r="M32" s="41"/>
      <c r="N32" s="41"/>
      <c r="V32" s="42"/>
    </row>
    <row r="33" spans="1:22" x14ac:dyDescent="0.25">
      <c r="A33" s="220" t="s">
        <v>137</v>
      </c>
      <c r="F33" s="10" t="s">
        <v>74</v>
      </c>
      <c r="G33" s="10">
        <v>4</v>
      </c>
      <c r="H33" s="8"/>
      <c r="I33" s="8"/>
      <c r="J33" s="8"/>
      <c r="K33" s="8"/>
      <c r="L33" s="67"/>
      <c r="M33" s="41"/>
      <c r="N33" s="41"/>
      <c r="V33" s="42"/>
    </row>
    <row r="34" spans="1:22" ht="75" x14ac:dyDescent="0.25">
      <c r="A34" s="142" t="s">
        <v>145</v>
      </c>
      <c r="B34" s="144" t="s">
        <v>0</v>
      </c>
      <c r="C34" s="143" t="s">
        <v>146</v>
      </c>
      <c r="D34" s="143" t="s">
        <v>25</v>
      </c>
      <c r="E34" s="143" t="s">
        <v>20</v>
      </c>
      <c r="F34" s="143" t="s">
        <v>21</v>
      </c>
      <c r="G34" s="143" t="s">
        <v>114</v>
      </c>
      <c r="H34" s="143" t="s">
        <v>17</v>
      </c>
      <c r="I34" s="41"/>
      <c r="J34" s="48"/>
      <c r="R34" s="42"/>
    </row>
    <row r="35" spans="1:22" x14ac:dyDescent="0.25">
      <c r="A35" s="128" t="s">
        <v>84</v>
      </c>
      <c r="B35" s="129"/>
      <c r="C35" s="130"/>
      <c r="D35" s="129">
        <f>G33</f>
        <v>4</v>
      </c>
      <c r="E35" s="190">
        <v>400</v>
      </c>
      <c r="F35" s="130">
        <f>D35*E35</f>
        <v>1600</v>
      </c>
      <c r="G35" s="187"/>
      <c r="H35" s="188" t="s">
        <v>18</v>
      </c>
    </row>
    <row r="36" spans="1:22" x14ac:dyDescent="0.25">
      <c r="A36" s="129" t="s">
        <v>85</v>
      </c>
      <c r="B36" s="129"/>
      <c r="C36" s="130"/>
      <c r="D36" s="129">
        <f>G33</f>
        <v>4</v>
      </c>
      <c r="E36" s="130">
        <f>'Demographic Data'!B6</f>
        <v>1000</v>
      </c>
      <c r="F36" s="130">
        <f>D36*E36</f>
        <v>4000</v>
      </c>
      <c r="G36" s="187"/>
      <c r="H36" s="188" t="s">
        <v>18</v>
      </c>
      <c r="I36" s="41"/>
      <c r="J36" s="41"/>
    </row>
    <row r="37" spans="1:22" x14ac:dyDescent="0.25">
      <c r="A37" s="129" t="s">
        <v>30</v>
      </c>
      <c r="B37" s="129"/>
      <c r="C37" s="130"/>
      <c r="D37" s="129">
        <f>G33</f>
        <v>4</v>
      </c>
      <c r="E37" s="130">
        <f>'Demographic Data'!B3</f>
        <v>10000</v>
      </c>
      <c r="F37" s="130">
        <f>D37*E37</f>
        <v>40000</v>
      </c>
      <c r="G37" s="187"/>
      <c r="H37" s="188" t="s">
        <v>18</v>
      </c>
      <c r="I37" s="41"/>
      <c r="J37" s="41"/>
    </row>
    <row r="38" spans="1:22" x14ac:dyDescent="0.25">
      <c r="A38" s="129" t="s">
        <v>19</v>
      </c>
      <c r="B38" s="129"/>
      <c r="C38" s="130"/>
      <c r="D38" s="129">
        <f>G33</f>
        <v>4</v>
      </c>
      <c r="E38" s="130">
        <f>'Demographic Data'!B4</f>
        <v>30000</v>
      </c>
      <c r="F38" s="130">
        <f>D38*E38</f>
        <v>120000</v>
      </c>
      <c r="G38" s="187"/>
      <c r="H38" s="188" t="s">
        <v>18</v>
      </c>
      <c r="I38" s="41"/>
      <c r="J38" s="41"/>
    </row>
    <row r="39" spans="1:22" x14ac:dyDescent="0.25">
      <c r="A39" s="50" t="s">
        <v>26</v>
      </c>
      <c r="B39" s="9" t="s">
        <v>3</v>
      </c>
      <c r="C39" s="185">
        <f>'Prices_non-Labor'!$G$12</f>
        <v>1.4520000000000002</v>
      </c>
      <c r="D39" s="53">
        <v>0.2</v>
      </c>
      <c r="E39" s="51">
        <f>SUM(E35+E36+E37+E38)</f>
        <v>41400</v>
      </c>
      <c r="F39" s="51">
        <f>E39*D39</f>
        <v>8280</v>
      </c>
      <c r="G39" s="189">
        <f>F39*C39</f>
        <v>12022.560000000001</v>
      </c>
      <c r="H39" s="61" t="s">
        <v>16</v>
      </c>
      <c r="I39" s="137"/>
      <c r="J39" s="41"/>
    </row>
    <row r="40" spans="1:22" x14ac:dyDescent="0.25">
      <c r="A40" s="50" t="s">
        <v>79</v>
      </c>
      <c r="B40" s="9" t="s">
        <v>3</v>
      </c>
      <c r="C40" s="185">
        <f>'Prices_non-Labor'!$G$13</f>
        <v>1.2100000000000002</v>
      </c>
      <c r="D40" s="53">
        <v>0.2</v>
      </c>
      <c r="E40" s="51">
        <f>SUM(E35:E38)</f>
        <v>41400</v>
      </c>
      <c r="F40" s="51">
        <f>E40*D40</f>
        <v>8280</v>
      </c>
      <c r="G40" s="189">
        <f t="shared" ref="G40:G61" si="2">F40*C40</f>
        <v>10018.800000000001</v>
      </c>
      <c r="H40" s="61" t="s">
        <v>16</v>
      </c>
      <c r="I40" s="137"/>
      <c r="J40" s="41"/>
    </row>
    <row r="41" spans="1:22" x14ac:dyDescent="0.25">
      <c r="A41" s="50" t="s">
        <v>83</v>
      </c>
      <c r="B41" s="9" t="s">
        <v>3</v>
      </c>
      <c r="C41" s="185">
        <f>'Prices_non-Labor'!$G$11</f>
        <v>1.2100000000000002</v>
      </c>
      <c r="D41" s="9">
        <v>1</v>
      </c>
      <c r="E41" s="65">
        <f>$E$35</f>
        <v>400</v>
      </c>
      <c r="F41" s="51">
        <f t="shared" ref="F41:F47" si="3">D41*E41</f>
        <v>400</v>
      </c>
      <c r="G41" s="189">
        <f t="shared" si="2"/>
        <v>484.00000000000006</v>
      </c>
      <c r="H41" s="61" t="s">
        <v>16</v>
      </c>
      <c r="I41" s="41"/>
      <c r="J41" s="41"/>
    </row>
    <row r="42" spans="1:22" x14ac:dyDescent="0.25">
      <c r="A42" s="9" t="s">
        <v>86</v>
      </c>
      <c r="B42" s="9" t="s">
        <v>3</v>
      </c>
      <c r="C42" s="185">
        <f>'Prices_non-Labor'!$G$11</f>
        <v>1.2100000000000002</v>
      </c>
      <c r="D42" s="9">
        <v>0.2</v>
      </c>
      <c r="E42" s="65">
        <f>$E$36</f>
        <v>1000</v>
      </c>
      <c r="F42" s="51">
        <f t="shared" si="3"/>
        <v>200</v>
      </c>
      <c r="G42" s="189">
        <f t="shared" si="2"/>
        <v>242.00000000000003</v>
      </c>
      <c r="H42" s="61" t="s">
        <v>16</v>
      </c>
      <c r="I42" s="41"/>
      <c r="J42" s="41"/>
    </row>
    <row r="43" spans="1:22" x14ac:dyDescent="0.25">
      <c r="A43" s="9" t="s">
        <v>31</v>
      </c>
      <c r="B43" s="9" t="s">
        <v>3</v>
      </c>
      <c r="C43" s="185">
        <f>'Prices_non-Labor'!$G$11</f>
        <v>1.2100000000000002</v>
      </c>
      <c r="D43" s="9">
        <v>0.2</v>
      </c>
      <c r="E43" s="65">
        <f>$E$37</f>
        <v>10000</v>
      </c>
      <c r="F43" s="51">
        <f t="shared" si="3"/>
        <v>2000</v>
      </c>
      <c r="G43" s="189">
        <f t="shared" si="2"/>
        <v>2420.0000000000005</v>
      </c>
      <c r="H43" s="61" t="s">
        <v>16</v>
      </c>
      <c r="I43" s="41"/>
      <c r="J43" s="41"/>
    </row>
    <row r="44" spans="1:22" x14ac:dyDescent="0.25">
      <c r="A44" s="9" t="s">
        <v>27</v>
      </c>
      <c r="B44" s="9" t="s">
        <v>3</v>
      </c>
      <c r="C44" s="185">
        <f>'Prices_non-Labor'!$G$11</f>
        <v>1.2100000000000002</v>
      </c>
      <c r="D44" s="9">
        <v>0.2</v>
      </c>
      <c r="E44" s="65">
        <f>$E$38</f>
        <v>30000</v>
      </c>
      <c r="F44" s="51">
        <f t="shared" si="3"/>
        <v>6000</v>
      </c>
      <c r="G44" s="189">
        <f t="shared" si="2"/>
        <v>7260.0000000000009</v>
      </c>
      <c r="H44" s="61" t="s">
        <v>16</v>
      </c>
      <c r="I44" s="41"/>
      <c r="J44" s="41"/>
    </row>
    <row r="45" spans="1:22" x14ac:dyDescent="0.25">
      <c r="A45" s="50" t="s">
        <v>116</v>
      </c>
      <c r="B45" s="9" t="s">
        <v>41</v>
      </c>
      <c r="C45" s="218">
        <f>'Prices_non-Labor'!$G$30</f>
        <v>14.322150000000002</v>
      </c>
      <c r="D45" s="52">
        <f>$G$33</f>
        <v>4</v>
      </c>
      <c r="E45" s="105">
        <f>E35*0.7</f>
        <v>280</v>
      </c>
      <c r="F45" s="133">
        <f t="shared" si="3"/>
        <v>1120</v>
      </c>
      <c r="G45" s="189">
        <f t="shared" si="2"/>
        <v>16040.808000000003</v>
      </c>
      <c r="H45" s="61" t="s">
        <v>16</v>
      </c>
      <c r="I45" s="41"/>
      <c r="J45" s="41"/>
    </row>
    <row r="46" spans="1:22" x14ac:dyDescent="0.25">
      <c r="A46" s="50" t="s">
        <v>117</v>
      </c>
      <c r="B46" s="9" t="s">
        <v>41</v>
      </c>
      <c r="C46" s="185">
        <f>'Prices_non-Labor'!$G$36</f>
        <v>36.070600000000006</v>
      </c>
      <c r="D46" s="9">
        <v>1</v>
      </c>
      <c r="E46" s="65">
        <f>$E$35*0.3</f>
        <v>120</v>
      </c>
      <c r="F46" s="51">
        <f t="shared" si="3"/>
        <v>120</v>
      </c>
      <c r="G46" s="189">
        <f t="shared" si="2"/>
        <v>4328.4720000000007</v>
      </c>
      <c r="H46" s="61" t="s">
        <v>16</v>
      </c>
      <c r="I46" s="41"/>
      <c r="J46" s="41"/>
    </row>
    <row r="47" spans="1:22" x14ac:dyDescent="0.25">
      <c r="A47" s="9" t="s">
        <v>118</v>
      </c>
      <c r="B47" s="9" t="s">
        <v>41</v>
      </c>
      <c r="C47" s="218">
        <f>'Prices_non-Labor'!$G$30</f>
        <v>14.322150000000002</v>
      </c>
      <c r="D47" s="52">
        <f>$G$33</f>
        <v>4</v>
      </c>
      <c r="E47" s="65">
        <f>$E$36*0.7</f>
        <v>700</v>
      </c>
      <c r="F47" s="51">
        <f t="shared" si="3"/>
        <v>2800</v>
      </c>
      <c r="G47" s="189">
        <f t="shared" si="2"/>
        <v>40102.020000000004</v>
      </c>
      <c r="H47" s="61" t="s">
        <v>16</v>
      </c>
      <c r="I47" s="41"/>
      <c r="J47" s="41"/>
    </row>
    <row r="48" spans="1:22" x14ac:dyDescent="0.25">
      <c r="A48" s="9" t="s">
        <v>119</v>
      </c>
      <c r="B48" s="9" t="s">
        <v>41</v>
      </c>
      <c r="C48" s="185">
        <f>'Prices_non-Labor'!$G$36</f>
        <v>36.070600000000006</v>
      </c>
      <c r="D48" s="9">
        <v>1</v>
      </c>
      <c r="E48" s="45">
        <f>$E$36*0.3</f>
        <v>300</v>
      </c>
      <c r="F48" s="65">
        <f>E48*D48</f>
        <v>300</v>
      </c>
      <c r="G48" s="189">
        <f t="shared" si="2"/>
        <v>10821.180000000002</v>
      </c>
      <c r="H48" s="61" t="s">
        <v>16</v>
      </c>
      <c r="I48" s="41"/>
      <c r="J48" s="41"/>
    </row>
    <row r="49" spans="1:14" x14ac:dyDescent="0.25">
      <c r="A49" s="9" t="s">
        <v>120</v>
      </c>
      <c r="B49" s="9" t="s">
        <v>41</v>
      </c>
      <c r="C49" s="218">
        <f>'Prices_non-Labor'!$G$30</f>
        <v>14.322150000000002</v>
      </c>
      <c r="D49" s="52">
        <f>$G$33</f>
        <v>4</v>
      </c>
      <c r="E49" s="65">
        <f>$E$37*0.7</f>
        <v>7000</v>
      </c>
      <c r="F49" s="51">
        <f>D49*E49</f>
        <v>28000</v>
      </c>
      <c r="G49" s="189">
        <f t="shared" si="2"/>
        <v>401020.20000000007</v>
      </c>
      <c r="H49" s="61" t="s">
        <v>16</v>
      </c>
      <c r="I49" s="41"/>
      <c r="J49" s="41"/>
    </row>
    <row r="50" spans="1:14" x14ac:dyDescent="0.25">
      <c r="A50" s="9" t="s">
        <v>121</v>
      </c>
      <c r="B50" s="9" t="s">
        <v>41</v>
      </c>
      <c r="C50" s="185">
        <f>'Prices_non-Labor'!$G$36</f>
        <v>36.070600000000006</v>
      </c>
      <c r="D50" s="9">
        <v>1</v>
      </c>
      <c r="E50" s="45">
        <f>$E$37*0.3</f>
        <v>3000</v>
      </c>
      <c r="F50" s="65">
        <f>E50*D50</f>
        <v>3000</v>
      </c>
      <c r="G50" s="189">
        <f t="shared" si="2"/>
        <v>108211.80000000002</v>
      </c>
      <c r="H50" s="61" t="s">
        <v>16</v>
      </c>
      <c r="I50" s="41"/>
      <c r="J50" s="41"/>
    </row>
    <row r="51" spans="1:14" x14ac:dyDescent="0.25">
      <c r="A51" s="9" t="s">
        <v>122</v>
      </c>
      <c r="B51" s="9" t="s">
        <v>41</v>
      </c>
      <c r="C51" s="218">
        <f>'Prices_non-Labor'!$G$30</f>
        <v>14.322150000000002</v>
      </c>
      <c r="D51" s="52">
        <f>$G$33</f>
        <v>4</v>
      </c>
      <c r="E51" s="65">
        <f>$E$38*0.7</f>
        <v>21000</v>
      </c>
      <c r="F51" s="51">
        <f>D51*E51</f>
        <v>84000</v>
      </c>
      <c r="G51" s="189">
        <f t="shared" si="2"/>
        <v>1203060.6000000001</v>
      </c>
      <c r="H51" s="61" t="s">
        <v>16</v>
      </c>
      <c r="I51" s="41"/>
      <c r="J51" s="41"/>
    </row>
    <row r="52" spans="1:14" x14ac:dyDescent="0.25">
      <c r="A52" s="9" t="s">
        <v>123</v>
      </c>
      <c r="B52" s="9" t="s">
        <v>41</v>
      </c>
      <c r="C52" s="185">
        <f>'Prices_non-Labor'!$G$36</f>
        <v>36.070600000000006</v>
      </c>
      <c r="D52" s="9">
        <v>1</v>
      </c>
      <c r="E52" s="45">
        <f>$E$38*0.3</f>
        <v>9000</v>
      </c>
      <c r="F52" s="51">
        <f>D52*E52</f>
        <v>9000</v>
      </c>
      <c r="G52" s="189">
        <f t="shared" si="2"/>
        <v>324635.40000000008</v>
      </c>
      <c r="H52" s="61" t="s">
        <v>16</v>
      </c>
      <c r="I52" s="54" t="s">
        <v>1</v>
      </c>
      <c r="J52" s="54"/>
    </row>
    <row r="53" spans="1:14" x14ac:dyDescent="0.25">
      <c r="A53" s="50" t="s">
        <v>116</v>
      </c>
      <c r="B53" s="9" t="s">
        <v>109</v>
      </c>
      <c r="C53" s="76">
        <f>'Prices_non-Labor'!$G$29</f>
        <v>6.8958500000000003</v>
      </c>
      <c r="D53" s="52">
        <f>$G$33</f>
        <v>4</v>
      </c>
      <c r="E53" s="105">
        <f>$E$35*0.7</f>
        <v>280</v>
      </c>
      <c r="F53" s="133">
        <f>D53*E53</f>
        <v>1120</v>
      </c>
      <c r="G53" s="189">
        <f t="shared" si="2"/>
        <v>7723.3519999999999</v>
      </c>
      <c r="H53" s="61" t="s">
        <v>16</v>
      </c>
      <c r="I53" s="54"/>
      <c r="J53" s="54"/>
    </row>
    <row r="54" spans="1:14" x14ac:dyDescent="0.25">
      <c r="A54" s="50" t="s">
        <v>117</v>
      </c>
      <c r="B54" s="9" t="s">
        <v>109</v>
      </c>
      <c r="C54" s="185">
        <f>'Prices_non-Labor'!$G$35</f>
        <v>25.461600000000001</v>
      </c>
      <c r="D54" s="52">
        <f t="shared" ref="D54:D61" si="4">$G$33</f>
        <v>4</v>
      </c>
      <c r="E54" s="65">
        <f>$E$35*0.3</f>
        <v>120</v>
      </c>
      <c r="F54" s="51">
        <f>D54*E54</f>
        <v>480</v>
      </c>
      <c r="G54" s="189">
        <f t="shared" si="2"/>
        <v>12221.568000000001</v>
      </c>
      <c r="H54" s="61" t="s">
        <v>16</v>
      </c>
      <c r="I54" s="54"/>
      <c r="J54" s="54"/>
    </row>
    <row r="55" spans="1:14" s="8" customFormat="1" x14ac:dyDescent="0.25">
      <c r="A55" s="9" t="s">
        <v>118</v>
      </c>
      <c r="B55" s="9" t="s">
        <v>109</v>
      </c>
      <c r="C55" s="76">
        <f>'Prices_non-Labor'!$G$29</f>
        <v>6.8958500000000003</v>
      </c>
      <c r="D55" s="52">
        <f t="shared" si="4"/>
        <v>4</v>
      </c>
      <c r="E55" s="65">
        <f>$E$36*0.7</f>
        <v>700</v>
      </c>
      <c r="F55" s="51">
        <f>D55*E55</f>
        <v>2800</v>
      </c>
      <c r="G55" s="189">
        <f t="shared" si="2"/>
        <v>19308.38</v>
      </c>
      <c r="H55" s="61" t="s">
        <v>16</v>
      </c>
      <c r="I55" s="135"/>
      <c r="J55" s="69"/>
    </row>
    <row r="56" spans="1:14" s="8" customFormat="1" x14ac:dyDescent="0.25">
      <c r="A56" s="9" t="s">
        <v>119</v>
      </c>
      <c r="B56" s="9" t="s">
        <v>109</v>
      </c>
      <c r="C56" s="185">
        <f>'Prices_non-Labor'!$G$35</f>
        <v>25.461600000000001</v>
      </c>
      <c r="D56" s="52">
        <f t="shared" si="4"/>
        <v>4</v>
      </c>
      <c r="E56" s="45">
        <f>$E$36*0.3</f>
        <v>300</v>
      </c>
      <c r="F56" s="65">
        <f>E56*D56</f>
        <v>1200</v>
      </c>
      <c r="G56" s="189">
        <f t="shared" si="2"/>
        <v>30553.920000000002</v>
      </c>
      <c r="H56" s="61" t="s">
        <v>16</v>
      </c>
      <c r="I56" s="135"/>
      <c r="J56" s="69"/>
    </row>
    <row r="57" spans="1:14" s="8" customFormat="1" x14ac:dyDescent="0.25">
      <c r="A57" s="9" t="s">
        <v>120</v>
      </c>
      <c r="B57" s="9" t="s">
        <v>109</v>
      </c>
      <c r="C57" s="76">
        <f>'Prices_non-Labor'!$G$29</f>
        <v>6.8958500000000003</v>
      </c>
      <c r="D57" s="52">
        <f t="shared" si="4"/>
        <v>4</v>
      </c>
      <c r="E57" s="65">
        <f>$E$37*0.7</f>
        <v>7000</v>
      </c>
      <c r="F57" s="51">
        <f>D57*E57</f>
        <v>28000</v>
      </c>
      <c r="G57" s="189">
        <f t="shared" si="2"/>
        <v>193083.80000000002</v>
      </c>
      <c r="H57" s="61" t="s">
        <v>16</v>
      </c>
      <c r="I57" s="135"/>
      <c r="J57" s="69"/>
    </row>
    <row r="58" spans="1:14" s="8" customFormat="1" x14ac:dyDescent="0.25">
      <c r="A58" s="9" t="s">
        <v>121</v>
      </c>
      <c r="B58" s="9" t="s">
        <v>109</v>
      </c>
      <c r="C58" s="185">
        <f>'Prices_non-Labor'!$G$35</f>
        <v>25.461600000000001</v>
      </c>
      <c r="D58" s="52">
        <f t="shared" si="4"/>
        <v>4</v>
      </c>
      <c r="E58" s="45">
        <f>$E$37*0.3</f>
        <v>3000</v>
      </c>
      <c r="F58" s="65">
        <f>E58*D58</f>
        <v>12000</v>
      </c>
      <c r="G58" s="189">
        <f t="shared" si="2"/>
        <v>305539.20000000001</v>
      </c>
      <c r="H58" s="61" t="s">
        <v>16</v>
      </c>
      <c r="I58" s="135"/>
      <c r="J58" s="69"/>
    </row>
    <row r="59" spans="1:14" s="8" customFormat="1" x14ac:dyDescent="0.25">
      <c r="A59" s="9" t="s">
        <v>124</v>
      </c>
      <c r="B59" s="9" t="s">
        <v>109</v>
      </c>
      <c r="C59" s="76">
        <f>'Prices_non-Labor'!$G$29</f>
        <v>6.8958500000000003</v>
      </c>
      <c r="D59" s="52">
        <f t="shared" si="4"/>
        <v>4</v>
      </c>
      <c r="E59" s="65">
        <f>$E$38*0.7</f>
        <v>21000</v>
      </c>
      <c r="F59" s="51">
        <f>D59*E59</f>
        <v>84000</v>
      </c>
      <c r="G59" s="189">
        <f t="shared" si="2"/>
        <v>579251.4</v>
      </c>
      <c r="H59" s="61" t="s">
        <v>16</v>
      </c>
      <c r="I59" s="135"/>
      <c r="J59" s="69"/>
    </row>
    <row r="60" spans="1:14" s="8" customFormat="1" x14ac:dyDescent="0.25">
      <c r="A60" s="9" t="s">
        <v>125</v>
      </c>
      <c r="B60" s="9" t="s">
        <v>109</v>
      </c>
      <c r="C60" s="185">
        <f>'Prices_non-Labor'!$G$35</f>
        <v>25.461600000000001</v>
      </c>
      <c r="D60" s="52">
        <f t="shared" si="4"/>
        <v>4</v>
      </c>
      <c r="E60" s="45">
        <f>$E$38*0.3</f>
        <v>9000</v>
      </c>
      <c r="F60" s="51">
        <f>D60*E60</f>
        <v>36000</v>
      </c>
      <c r="G60" s="189">
        <f>F60*C60</f>
        <v>916617.6</v>
      </c>
      <c r="H60" s="61" t="s">
        <v>16</v>
      </c>
      <c r="I60" s="131"/>
      <c r="J60" s="131"/>
    </row>
    <row r="61" spans="1:14" s="8" customFormat="1" x14ac:dyDescent="0.25">
      <c r="A61" s="9" t="s">
        <v>39</v>
      </c>
      <c r="B61" s="9" t="s">
        <v>15</v>
      </c>
      <c r="C61" s="185">
        <f>'Prices_non-Labor'!$G$24</f>
        <v>133.10000000000005</v>
      </c>
      <c r="D61" s="52">
        <f t="shared" si="4"/>
        <v>4</v>
      </c>
      <c r="E61" s="59">
        <v>500</v>
      </c>
      <c r="F61" s="65">
        <f>D61*E61</f>
        <v>2000</v>
      </c>
      <c r="G61" s="189">
        <f t="shared" si="2"/>
        <v>266200.00000000012</v>
      </c>
      <c r="H61" s="61" t="s">
        <v>16</v>
      </c>
      <c r="I61" s="131"/>
      <c r="J61" s="131"/>
    </row>
    <row r="62" spans="1:14" s="8" customFormat="1" x14ac:dyDescent="0.25">
      <c r="A62"/>
      <c r="B62"/>
      <c r="C62"/>
      <c r="D62" s="103"/>
      <c r="E62" s="70"/>
      <c r="F62" s="126"/>
      <c r="G62"/>
      <c r="I62" s="72"/>
      <c r="J62" s="72"/>
      <c r="K62" s="127"/>
      <c r="L62" s="64"/>
      <c r="M62" s="67"/>
      <c r="N62" s="69"/>
    </row>
    <row r="63" spans="1:14" s="8" customFormat="1" x14ac:dyDescent="0.25">
      <c r="A63" s="178" t="s">
        <v>144</v>
      </c>
      <c r="B63" s="176" t="s">
        <v>32</v>
      </c>
      <c r="C63" s="176"/>
      <c r="D63" s="178" t="s">
        <v>76</v>
      </c>
      <c r="E63" s="179"/>
      <c r="F63" s="179"/>
      <c r="G63" s="180" t="s">
        <v>32</v>
      </c>
      <c r="H63" s="178" t="s">
        <v>77</v>
      </c>
      <c r="I63" s="179"/>
      <c r="J63" s="179"/>
      <c r="K63" s="175" t="s">
        <v>32</v>
      </c>
      <c r="L63" s="177" t="s">
        <v>45</v>
      </c>
    </row>
    <row r="64" spans="1:14" s="8" customFormat="1" x14ac:dyDescent="0.25">
      <c r="A64" s="59" t="s">
        <v>62</v>
      </c>
      <c r="B64" s="186">
        <f>SUM(G39:G61)</f>
        <v>4471167.0599999996</v>
      </c>
      <c r="C64" s="79"/>
      <c r="D64" s="433" t="s">
        <v>63</v>
      </c>
      <c r="E64" s="433"/>
      <c r="F64" s="433"/>
      <c r="G64" s="84">
        <f>B64/'Demographic Data'!$B$3</f>
        <v>447.11670599999997</v>
      </c>
      <c r="H64" s="115" t="s">
        <v>65</v>
      </c>
      <c r="I64" s="116"/>
      <c r="J64" s="117"/>
      <c r="K64" s="71">
        <f>SUMIFS($G$39:$G$61, $B$39:$B$61, "Materials", $H$39:$H$61, "Yes")</f>
        <v>32447.360000000001</v>
      </c>
      <c r="L64" s="97">
        <f>K64/$B$64</f>
        <v>7.2570225099126591E-3</v>
      </c>
    </row>
    <row r="65" spans="1:14" s="8" customFormat="1" x14ac:dyDescent="0.25">
      <c r="A65" s="59"/>
      <c r="B65" s="74"/>
      <c r="C65" s="71"/>
      <c r="D65" s="433" t="s">
        <v>64</v>
      </c>
      <c r="E65" s="433"/>
      <c r="F65" s="433"/>
      <c r="G65" s="84">
        <f>B64/'Demographic Data'!$B$4</f>
        <v>149.03890199999998</v>
      </c>
      <c r="H65" s="115" t="s">
        <v>66</v>
      </c>
      <c r="I65" s="116"/>
      <c r="J65" s="117"/>
      <c r="K65" s="71">
        <f>SUMIFS($G$39:$G$61, $B$39:$B$61, "Transportation", $H$39:$H$61, "Yes")</f>
        <v>2108220.48</v>
      </c>
      <c r="L65" s="97">
        <f>K65/$B$64</f>
        <v>0.4715145848296709</v>
      </c>
    </row>
    <row r="66" spans="1:14" s="8" customFormat="1" x14ac:dyDescent="0.25">
      <c r="A66" s="62"/>
      <c r="B66" s="83"/>
      <c r="C66" s="82"/>
      <c r="D66" s="426" t="s">
        <v>60</v>
      </c>
      <c r="E66" s="426"/>
      <c r="F66" s="426"/>
      <c r="G66" s="132">
        <f>B64/'Demographic Data'!$B$5</f>
        <v>3.7259725499999998</v>
      </c>
      <c r="H66" s="116" t="s">
        <v>126</v>
      </c>
      <c r="I66" s="116"/>
      <c r="J66" s="117"/>
      <c r="K66" s="71">
        <f>SUMIFS($G$39:$G$61, $B$39:$B$61, "Meals/Per Diem", $H$39:$H$61, "Yes")</f>
        <v>2064299.2200000002</v>
      </c>
      <c r="L66" s="97">
        <f>K66/$B$64</f>
        <v>0.46169136431238611</v>
      </c>
    </row>
    <row r="67" spans="1:14" s="8" customFormat="1" x14ac:dyDescent="0.25">
      <c r="A67" s="48"/>
      <c r="B67" s="48"/>
      <c r="C67" s="48"/>
      <c r="D67" s="451"/>
      <c r="E67" s="451"/>
      <c r="F67" s="451"/>
      <c r="G67" s="193"/>
      <c r="H67" s="59" t="s">
        <v>67</v>
      </c>
      <c r="I67" s="59"/>
      <c r="J67" s="59"/>
      <c r="K67" s="71">
        <f>SUMIFS($G$39:$G$61, $B$39:$B$61, "Facilities", $H$39:$H$61, "Yes")</f>
        <v>266200.00000000012</v>
      </c>
      <c r="L67" s="97">
        <f>K67/$B$64</f>
        <v>5.9537028348030492E-2</v>
      </c>
      <c r="M67" s="69"/>
      <c r="N67" s="69"/>
    </row>
    <row r="68" spans="1:14" s="8" customFormat="1" x14ac:dyDescent="0.25">
      <c r="C68" s="48"/>
      <c r="I68" s="431"/>
      <c r="J68" s="432"/>
      <c r="K68" s="432"/>
      <c r="L68" s="67" t="s">
        <v>1</v>
      </c>
      <c r="M68" s="136"/>
      <c r="N68" s="70"/>
    </row>
    <row r="69" spans="1:14" s="8" customFormat="1" x14ac:dyDescent="0.25">
      <c r="C69" s="48"/>
      <c r="I69" s="194"/>
      <c r="L69" s="67"/>
      <c r="M69" s="136"/>
      <c r="N69" s="70"/>
    </row>
    <row r="70" spans="1:14" s="8" customFormat="1" x14ac:dyDescent="0.25">
      <c r="C70" s="48"/>
      <c r="I70" s="194"/>
      <c r="L70" s="67"/>
      <c r="M70" s="136"/>
      <c r="N70" s="70"/>
    </row>
    <row r="71" spans="1:14" s="8" customFormat="1" x14ac:dyDescent="0.25">
      <c r="A71" s="220" t="s">
        <v>138</v>
      </c>
      <c r="B71" s="224"/>
      <c r="C71"/>
      <c r="D71"/>
      <c r="E71"/>
      <c r="F71" s="10" t="s">
        <v>74</v>
      </c>
      <c r="G71" s="10">
        <v>4</v>
      </c>
      <c r="L71" s="67"/>
      <c r="M71" s="136"/>
      <c r="N71" s="70"/>
    </row>
    <row r="72" spans="1:14" s="8" customFormat="1" ht="60" x14ac:dyDescent="0.25">
      <c r="A72" s="142" t="s">
        <v>143</v>
      </c>
      <c r="B72" s="144" t="s">
        <v>0</v>
      </c>
      <c r="C72" s="143" t="s">
        <v>146</v>
      </c>
      <c r="D72" s="143" t="s">
        <v>25</v>
      </c>
      <c r="E72" s="143" t="s">
        <v>20</v>
      </c>
      <c r="F72" s="143" t="s">
        <v>21</v>
      </c>
      <c r="G72" s="143" t="s">
        <v>114</v>
      </c>
      <c r="H72" s="143" t="s">
        <v>17</v>
      </c>
      <c r="I72" s="41"/>
      <c r="J72" s="48"/>
      <c r="K72"/>
      <c r="M72" s="131"/>
      <c r="N72" s="70"/>
    </row>
    <row r="73" spans="1:14" s="8" customFormat="1" x14ac:dyDescent="0.25">
      <c r="A73" s="128" t="s">
        <v>84</v>
      </c>
      <c r="B73" s="129"/>
      <c r="C73" s="130"/>
      <c r="D73" s="129">
        <f>$G$71</f>
        <v>4</v>
      </c>
      <c r="E73" s="190">
        <v>400</v>
      </c>
      <c r="F73" s="130">
        <f>D73*E73</f>
        <v>1600</v>
      </c>
      <c r="G73" s="187"/>
      <c r="H73" s="188" t="s">
        <v>18</v>
      </c>
      <c r="I73"/>
      <c r="J73"/>
      <c r="K73"/>
      <c r="M73" s="131"/>
      <c r="N73" s="70"/>
    </row>
    <row r="74" spans="1:14" s="8" customFormat="1" x14ac:dyDescent="0.25">
      <c r="A74" s="129" t="s">
        <v>19</v>
      </c>
      <c r="B74" s="129"/>
      <c r="C74" s="130"/>
      <c r="D74" s="129">
        <f>$G$71</f>
        <v>4</v>
      </c>
      <c r="E74" s="130">
        <f>'Demographic Data'!$B$4</f>
        <v>30000</v>
      </c>
      <c r="F74" s="130">
        <f>D74*E74</f>
        <v>120000</v>
      </c>
      <c r="G74" s="187"/>
      <c r="H74" s="188" t="s">
        <v>18</v>
      </c>
      <c r="I74" s="41"/>
      <c r="J74" s="41"/>
      <c r="K74"/>
      <c r="M74" s="131"/>
      <c r="N74" s="70"/>
    </row>
    <row r="75" spans="1:14" s="8" customFormat="1" x14ac:dyDescent="0.25">
      <c r="A75" s="50" t="s">
        <v>26</v>
      </c>
      <c r="B75" s="9" t="s">
        <v>3</v>
      </c>
      <c r="C75" s="185">
        <f>'Prices_non-Labor'!$G$12</f>
        <v>1.4520000000000002</v>
      </c>
      <c r="D75" s="53">
        <v>0.1</v>
      </c>
      <c r="E75" s="51">
        <f>SUM(E73:E74)</f>
        <v>30400</v>
      </c>
      <c r="F75" s="51">
        <f>E75*D75</f>
        <v>3040</v>
      </c>
      <c r="G75" s="189">
        <f>F75*C75</f>
        <v>4414.0800000000008</v>
      </c>
      <c r="H75" s="61" t="s">
        <v>16</v>
      </c>
      <c r="I75" s="137"/>
      <c r="J75" s="41"/>
      <c r="K75"/>
      <c r="M75" s="136"/>
      <c r="N75" s="70"/>
    </row>
    <row r="76" spans="1:14" s="8" customFormat="1" x14ac:dyDescent="0.25">
      <c r="A76" s="50" t="s">
        <v>79</v>
      </c>
      <c r="B76" s="9" t="s">
        <v>3</v>
      </c>
      <c r="C76" s="185">
        <f>'Prices_non-Labor'!$G$13</f>
        <v>1.2100000000000002</v>
      </c>
      <c r="D76" s="53">
        <v>0.1</v>
      </c>
      <c r="E76" s="51">
        <f>SUM(E73:E74)</f>
        <v>30400</v>
      </c>
      <c r="F76" s="51">
        <f>E76*D76</f>
        <v>3040</v>
      </c>
      <c r="G76" s="189">
        <f t="shared" ref="G76:G85" si="5">F76*C76</f>
        <v>3678.4000000000005</v>
      </c>
      <c r="H76" s="61" t="s">
        <v>16</v>
      </c>
      <c r="I76" s="137"/>
      <c r="J76" s="41"/>
      <c r="K76"/>
      <c r="L76"/>
      <c r="M76" s="136"/>
      <c r="N76" s="70"/>
    </row>
    <row r="77" spans="1:14" s="8" customFormat="1" x14ac:dyDescent="0.25">
      <c r="A77" s="50" t="s">
        <v>83</v>
      </c>
      <c r="B77" s="9" t="s">
        <v>3</v>
      </c>
      <c r="C77" s="185">
        <f>'Prices_non-Labor'!$G$11</f>
        <v>1.2100000000000002</v>
      </c>
      <c r="D77" s="9">
        <v>1</v>
      </c>
      <c r="E77" s="65">
        <f>$E$35</f>
        <v>400</v>
      </c>
      <c r="F77" s="51">
        <f t="shared" ref="F77:F87" si="6">D77*E77</f>
        <v>400</v>
      </c>
      <c r="G77" s="189">
        <f t="shared" si="5"/>
        <v>484.00000000000006</v>
      </c>
      <c r="H77" s="61" t="s">
        <v>16</v>
      </c>
      <c r="I77" s="41"/>
      <c r="J77" s="41"/>
      <c r="K77"/>
      <c r="L77"/>
      <c r="M77" s="136"/>
      <c r="N77" s="70"/>
    </row>
    <row r="78" spans="1:14" s="8" customFormat="1" x14ac:dyDescent="0.25">
      <c r="A78" s="9" t="s">
        <v>27</v>
      </c>
      <c r="B78" s="9" t="s">
        <v>3</v>
      </c>
      <c r="C78" s="185">
        <f>'Prices_non-Labor'!$G$11</f>
        <v>1.2100000000000002</v>
      </c>
      <c r="D78" s="195">
        <v>0.2</v>
      </c>
      <c r="E78" s="65">
        <f>$E$38</f>
        <v>30000</v>
      </c>
      <c r="F78" s="51">
        <f t="shared" si="6"/>
        <v>6000</v>
      </c>
      <c r="G78" s="189">
        <f t="shared" si="5"/>
        <v>7260.0000000000009</v>
      </c>
      <c r="H78" s="61" t="s">
        <v>16</v>
      </c>
      <c r="I78" s="41"/>
      <c r="J78" s="41"/>
      <c r="K78"/>
      <c r="L78"/>
      <c r="M78" s="136"/>
      <c r="N78" s="70"/>
    </row>
    <row r="79" spans="1:14" s="8" customFormat="1" x14ac:dyDescent="0.25">
      <c r="A79" s="50" t="s">
        <v>116</v>
      </c>
      <c r="B79" s="9" t="s">
        <v>41</v>
      </c>
      <c r="C79" s="218">
        <f>'Prices_non-Labor'!$G$30</f>
        <v>14.322150000000002</v>
      </c>
      <c r="D79" s="52">
        <f>$G$71</f>
        <v>4</v>
      </c>
      <c r="E79" s="105">
        <f>E73*0.7</f>
        <v>280</v>
      </c>
      <c r="F79" s="133">
        <f t="shared" si="6"/>
        <v>1120</v>
      </c>
      <c r="G79" s="189">
        <f t="shared" si="5"/>
        <v>16040.808000000003</v>
      </c>
      <c r="H79" s="61" t="s">
        <v>16</v>
      </c>
      <c r="I79" s="41"/>
      <c r="J79" s="41"/>
      <c r="K79"/>
      <c r="L79"/>
      <c r="M79" s="136"/>
      <c r="N79" s="70"/>
    </row>
    <row r="80" spans="1:14" s="8" customFormat="1" x14ac:dyDescent="0.25">
      <c r="A80" s="50" t="s">
        <v>117</v>
      </c>
      <c r="B80" s="9" t="s">
        <v>41</v>
      </c>
      <c r="C80" s="185">
        <f>'Prices_non-Labor'!$G$36</f>
        <v>36.070600000000006</v>
      </c>
      <c r="D80" s="9">
        <v>1</v>
      </c>
      <c r="E80" s="65">
        <f>$E$35*0.3</f>
        <v>120</v>
      </c>
      <c r="F80" s="51">
        <f t="shared" si="6"/>
        <v>120</v>
      </c>
      <c r="G80" s="189">
        <f t="shared" si="5"/>
        <v>4328.4720000000007</v>
      </c>
      <c r="H80" s="61" t="s">
        <v>16</v>
      </c>
      <c r="I80" s="41"/>
      <c r="J80" s="41"/>
      <c r="K80"/>
      <c r="L80"/>
      <c r="M80" s="136"/>
      <c r="N80" s="70"/>
    </row>
    <row r="81" spans="1:14" s="8" customFormat="1" x14ac:dyDescent="0.25">
      <c r="A81" s="9" t="s">
        <v>122</v>
      </c>
      <c r="B81" s="9" t="s">
        <v>41</v>
      </c>
      <c r="C81" s="218">
        <f>'Prices_non-Labor'!$G$30</f>
        <v>14.322150000000002</v>
      </c>
      <c r="D81" s="52">
        <f>$G$71</f>
        <v>4</v>
      </c>
      <c r="E81" s="65">
        <f>$E$38*0.7</f>
        <v>21000</v>
      </c>
      <c r="F81" s="51">
        <f t="shared" si="6"/>
        <v>84000</v>
      </c>
      <c r="G81" s="189">
        <f t="shared" si="5"/>
        <v>1203060.6000000001</v>
      </c>
      <c r="H81" s="61" t="s">
        <v>16</v>
      </c>
      <c r="I81" s="41"/>
      <c r="J81" s="41"/>
      <c r="K81"/>
      <c r="L81"/>
      <c r="M81" s="136"/>
      <c r="N81" s="70"/>
    </row>
    <row r="82" spans="1:14" s="8" customFormat="1" x14ac:dyDescent="0.25">
      <c r="A82" s="9" t="s">
        <v>123</v>
      </c>
      <c r="B82" s="9" t="s">
        <v>41</v>
      </c>
      <c r="C82" s="185">
        <f>'Prices_non-Labor'!$G$36</f>
        <v>36.070600000000006</v>
      </c>
      <c r="D82" s="9">
        <v>1</v>
      </c>
      <c r="E82" s="45">
        <f>$E$38*0.3</f>
        <v>9000</v>
      </c>
      <c r="F82" s="51">
        <f t="shared" si="6"/>
        <v>9000</v>
      </c>
      <c r="G82" s="189">
        <f t="shared" si="5"/>
        <v>324635.40000000008</v>
      </c>
      <c r="H82" s="61" t="s">
        <v>16</v>
      </c>
      <c r="I82" s="54" t="s">
        <v>1</v>
      </c>
      <c r="J82" s="54"/>
      <c r="K82"/>
      <c r="L82"/>
      <c r="M82" s="136"/>
      <c r="N82" s="70"/>
    </row>
    <row r="83" spans="1:14" s="8" customFormat="1" x14ac:dyDescent="0.25">
      <c r="A83" s="50" t="s">
        <v>116</v>
      </c>
      <c r="B83" s="9" t="s">
        <v>109</v>
      </c>
      <c r="C83" s="76">
        <f>'Prices_non-Labor'!$G$29</f>
        <v>6.8958500000000003</v>
      </c>
      <c r="D83" s="52">
        <f>$G$71</f>
        <v>4</v>
      </c>
      <c r="E83" s="105">
        <f>$E$35*0.7</f>
        <v>280</v>
      </c>
      <c r="F83" s="133">
        <f t="shared" si="6"/>
        <v>1120</v>
      </c>
      <c r="G83" s="189">
        <f t="shared" si="5"/>
        <v>7723.3519999999999</v>
      </c>
      <c r="H83" s="61" t="s">
        <v>16</v>
      </c>
      <c r="I83" s="54"/>
      <c r="J83" s="54"/>
      <c r="K83"/>
      <c r="L83"/>
      <c r="M83" s="136"/>
      <c r="N83" s="70"/>
    </row>
    <row r="84" spans="1:14" s="8" customFormat="1" x14ac:dyDescent="0.25">
      <c r="A84" s="50" t="s">
        <v>117</v>
      </c>
      <c r="B84" s="9" t="s">
        <v>109</v>
      </c>
      <c r="C84" s="185">
        <f>'Prices_non-Labor'!$G$35</f>
        <v>25.461600000000001</v>
      </c>
      <c r="D84" s="52">
        <f>$G$71</f>
        <v>4</v>
      </c>
      <c r="E84" s="65">
        <f>$E$35*0.3</f>
        <v>120</v>
      </c>
      <c r="F84" s="51">
        <f t="shared" si="6"/>
        <v>480</v>
      </c>
      <c r="G84" s="189">
        <f t="shared" si="5"/>
        <v>12221.568000000001</v>
      </c>
      <c r="H84" s="61" t="s">
        <v>16</v>
      </c>
      <c r="I84" s="54"/>
      <c r="J84" s="54"/>
      <c r="K84"/>
      <c r="L84"/>
      <c r="M84" s="136"/>
      <c r="N84" s="70"/>
    </row>
    <row r="85" spans="1:14" s="8" customFormat="1" x14ac:dyDescent="0.25">
      <c r="A85" s="9" t="s">
        <v>124</v>
      </c>
      <c r="B85" s="9" t="s">
        <v>109</v>
      </c>
      <c r="C85" s="76">
        <f>'Prices_non-Labor'!$G$29</f>
        <v>6.8958500000000003</v>
      </c>
      <c r="D85" s="52">
        <f>$G$71</f>
        <v>4</v>
      </c>
      <c r="E85" s="65">
        <f>$E$38*0.7</f>
        <v>21000</v>
      </c>
      <c r="F85" s="51">
        <f t="shared" si="6"/>
        <v>84000</v>
      </c>
      <c r="G85" s="189">
        <f t="shared" si="5"/>
        <v>579251.4</v>
      </c>
      <c r="H85" s="61" t="s">
        <v>16</v>
      </c>
      <c r="I85" s="135"/>
      <c r="J85" s="69"/>
      <c r="M85" s="136"/>
      <c r="N85" s="70"/>
    </row>
    <row r="86" spans="1:14" s="8" customFormat="1" x14ac:dyDescent="0.25">
      <c r="A86" s="9" t="s">
        <v>125</v>
      </c>
      <c r="B86" s="9" t="s">
        <v>109</v>
      </c>
      <c r="C86" s="185">
        <f>'Prices_non-Labor'!$G$35</f>
        <v>25.461600000000001</v>
      </c>
      <c r="D86" s="52">
        <f>$G$71</f>
        <v>4</v>
      </c>
      <c r="E86" s="45">
        <f>$E$38*0.3</f>
        <v>9000</v>
      </c>
      <c r="F86" s="51">
        <f t="shared" si="6"/>
        <v>36000</v>
      </c>
      <c r="G86" s="189">
        <f>F86*C86</f>
        <v>916617.6</v>
      </c>
      <c r="H86" s="61" t="s">
        <v>16</v>
      </c>
      <c r="I86" s="131"/>
      <c r="J86" s="131"/>
      <c r="M86" s="136"/>
      <c r="N86" s="70"/>
    </row>
    <row r="87" spans="1:14" s="8" customFormat="1" x14ac:dyDescent="0.25">
      <c r="A87" s="9" t="s">
        <v>39</v>
      </c>
      <c r="B87" s="9" t="s">
        <v>15</v>
      </c>
      <c r="C87" s="185">
        <f>'Prices_non-Labor'!$G$24</f>
        <v>133.10000000000005</v>
      </c>
      <c r="D87" s="52">
        <f>$G$71</f>
        <v>4</v>
      </c>
      <c r="E87" s="59">
        <v>500</v>
      </c>
      <c r="F87" s="65">
        <f t="shared" si="6"/>
        <v>2000</v>
      </c>
      <c r="G87" s="189">
        <f>F87*C87</f>
        <v>266200.00000000012</v>
      </c>
      <c r="H87" s="61" t="s">
        <v>16</v>
      </c>
      <c r="I87" s="131"/>
      <c r="J87" s="131"/>
      <c r="M87" s="136"/>
      <c r="N87" s="70"/>
    </row>
    <row r="88" spans="1:14" s="8" customFormat="1" x14ac:dyDescent="0.25">
      <c r="A88"/>
      <c r="B88"/>
      <c r="C88"/>
      <c r="D88" s="103"/>
      <c r="E88" s="70"/>
      <c r="F88" s="126"/>
      <c r="G88"/>
      <c r="I88" s="72"/>
      <c r="J88" s="72"/>
      <c r="K88" s="127"/>
      <c r="L88" s="64"/>
      <c r="M88" s="136"/>
      <c r="N88" s="70"/>
    </row>
    <row r="89" spans="1:14" s="8" customFormat="1" x14ac:dyDescent="0.25">
      <c r="A89" s="178" t="s">
        <v>142</v>
      </c>
      <c r="B89" s="176" t="s">
        <v>32</v>
      </c>
      <c r="C89" s="176"/>
      <c r="D89" s="178" t="s">
        <v>76</v>
      </c>
      <c r="E89" s="179"/>
      <c r="F89" s="179"/>
      <c r="G89" s="180" t="s">
        <v>32</v>
      </c>
      <c r="H89" s="178" t="s">
        <v>77</v>
      </c>
      <c r="I89" s="179"/>
      <c r="J89" s="179"/>
      <c r="K89" s="175" t="s">
        <v>32</v>
      </c>
      <c r="L89" s="177" t="s">
        <v>45</v>
      </c>
      <c r="M89" s="136"/>
      <c r="N89" s="70"/>
    </row>
    <row r="90" spans="1:14" s="8" customFormat="1" x14ac:dyDescent="0.25">
      <c r="A90" s="59" t="s">
        <v>62</v>
      </c>
      <c r="B90" s="186">
        <f>SUM(G75:G87)</f>
        <v>3345915.68</v>
      </c>
      <c r="C90" s="79"/>
      <c r="D90" s="433" t="s">
        <v>63</v>
      </c>
      <c r="E90" s="433"/>
      <c r="F90" s="433"/>
      <c r="G90" s="84">
        <f>B90/'Demographic Data'!$B$3</f>
        <v>334.591568</v>
      </c>
      <c r="H90" s="115" t="s">
        <v>65</v>
      </c>
      <c r="I90" s="116"/>
      <c r="J90" s="117"/>
      <c r="K90" s="71">
        <f>SUMIFS($G$75:$G$87, $B$75:$B$87, "Materials", $H$75:$H$87, "Yes")</f>
        <v>15836.480000000003</v>
      </c>
      <c r="L90" s="97">
        <f>K90/$B$90</f>
        <v>4.7330780314224783E-3</v>
      </c>
      <c r="M90" s="136"/>
      <c r="N90" s="70"/>
    </row>
    <row r="91" spans="1:14" s="8" customFormat="1" x14ac:dyDescent="0.25">
      <c r="A91" s="59"/>
      <c r="B91" s="74"/>
      <c r="C91" s="71"/>
      <c r="D91" s="433" t="s">
        <v>64</v>
      </c>
      <c r="E91" s="433"/>
      <c r="F91" s="433"/>
      <c r="G91" s="84">
        <f>B90/'Demographic Data'!$B$4</f>
        <v>111.53052266666667</v>
      </c>
      <c r="H91" s="115" t="s">
        <v>66</v>
      </c>
      <c r="I91" s="116"/>
      <c r="J91" s="117"/>
      <c r="K91" s="71">
        <f>SUMIFS($G$75:$G$87, $B$75:$B$87, "Transportation", $H$75:$H$87, "Yes")</f>
        <v>1548065.2800000003</v>
      </c>
      <c r="L91" s="97">
        <f>K91/$B$90</f>
        <v>0.46267312988592713</v>
      </c>
      <c r="M91" s="149"/>
      <c r="N91" s="149"/>
    </row>
    <row r="92" spans="1:14" x14ac:dyDescent="0.25">
      <c r="A92" s="62"/>
      <c r="B92" s="83"/>
      <c r="C92" s="82"/>
      <c r="D92" s="426" t="s">
        <v>60</v>
      </c>
      <c r="E92" s="426"/>
      <c r="F92" s="426"/>
      <c r="G92" s="132">
        <f>B90/'Demographic Data'!$B$5</f>
        <v>2.788263066666667</v>
      </c>
      <c r="H92" s="116" t="s">
        <v>126</v>
      </c>
      <c r="I92" s="116"/>
      <c r="J92" s="117"/>
      <c r="K92" s="71">
        <f>SUMIFS($G$75:$G$87, $B$75:$B$87, "Meals/Per Diem", $H$75:$H$87, "Yes")</f>
        <v>1515813.92</v>
      </c>
      <c r="L92" s="97">
        <f>K92/$B$90</f>
        <v>0.45303410634663688</v>
      </c>
      <c r="M92" s="136"/>
      <c r="N92" s="69"/>
    </row>
    <row r="93" spans="1:14" x14ac:dyDescent="0.25">
      <c r="A93" s="48"/>
      <c r="B93" s="48"/>
      <c r="C93" s="48"/>
      <c r="D93" s="451"/>
      <c r="E93" s="451"/>
      <c r="F93" s="451"/>
      <c r="G93" s="193"/>
      <c r="H93" s="59" t="s">
        <v>67</v>
      </c>
      <c r="I93" s="59"/>
      <c r="J93" s="59"/>
      <c r="K93" s="71">
        <f>SUMIFS($G$75:$G$87, $B$75:$B$87, "Facilities", $H$75:$H$87, "Yes")</f>
        <v>266200.00000000012</v>
      </c>
      <c r="L93" s="97">
        <f>K93/$B$90</f>
        <v>7.9559685736013561E-2</v>
      </c>
      <c r="M93" s="136"/>
      <c r="N93" s="69"/>
    </row>
    <row r="94" spans="1:14" x14ac:dyDescent="0.25">
      <c r="A94" s="48"/>
      <c r="B94" s="48"/>
      <c r="C94" s="48"/>
      <c r="D94" s="48"/>
      <c r="E94" s="48"/>
      <c r="F94" s="48"/>
      <c r="G94" s="193"/>
      <c r="H94" s="8"/>
      <c r="I94" s="8"/>
      <c r="J94" s="8"/>
      <c r="K94" s="67"/>
      <c r="L94" s="69" t="s">
        <v>1</v>
      </c>
      <c r="M94" s="136"/>
      <c r="N94" s="69"/>
    </row>
    <row r="95" spans="1:14" x14ac:dyDescent="0.25">
      <c r="A95" s="225" t="s">
        <v>139</v>
      </c>
      <c r="B95" s="48"/>
      <c r="C95" s="48"/>
      <c r="D95" s="48"/>
      <c r="E95" s="48"/>
      <c r="F95" s="48"/>
      <c r="G95" s="193"/>
      <c r="H95" s="8"/>
      <c r="I95" s="8"/>
      <c r="J95" s="8"/>
      <c r="K95" s="67"/>
      <c r="L95" s="69"/>
      <c r="M95" s="136"/>
      <c r="N95" s="69"/>
    </row>
    <row r="96" spans="1:14" ht="30" x14ac:dyDescent="0.25">
      <c r="A96" s="142" t="s">
        <v>140</v>
      </c>
      <c r="B96" s="144" t="s">
        <v>0</v>
      </c>
      <c r="C96" s="143" t="s">
        <v>146</v>
      </c>
      <c r="D96" s="143" t="s">
        <v>25</v>
      </c>
      <c r="E96" s="143" t="s">
        <v>20</v>
      </c>
      <c r="F96" s="143" t="s">
        <v>21</v>
      </c>
      <c r="G96" s="143" t="s">
        <v>114</v>
      </c>
      <c r="H96" s="143" t="s">
        <v>17</v>
      </c>
      <c r="I96" s="8"/>
      <c r="J96" s="8"/>
      <c r="K96" s="67"/>
      <c r="L96" s="69"/>
      <c r="M96" s="136"/>
      <c r="N96" s="69"/>
    </row>
    <row r="97" spans="1:17" x14ac:dyDescent="0.25">
      <c r="A97" s="9" t="s">
        <v>127</v>
      </c>
      <c r="B97" s="9" t="s">
        <v>3</v>
      </c>
      <c r="C97" s="219">
        <f>'Prices_non-Labor'!$G$12</f>
        <v>1.4520000000000002</v>
      </c>
      <c r="D97" s="52">
        <v>1</v>
      </c>
      <c r="E97" s="65">
        <f>'Demographic Data'!$B$4</f>
        <v>30000</v>
      </c>
      <c r="F97" s="51">
        <f>E97*D97*0.1</f>
        <v>3000</v>
      </c>
      <c r="G97" s="196">
        <f>SUM(C97*F97)</f>
        <v>4356.0000000000009</v>
      </c>
      <c r="H97" s="61" t="s">
        <v>16</v>
      </c>
      <c r="I97" s="194"/>
      <c r="J97" s="70"/>
      <c r="K97" s="198"/>
      <c r="L97" s="64"/>
      <c r="M97" s="136"/>
      <c r="N97" s="69"/>
    </row>
    <row r="98" spans="1:17" x14ac:dyDescent="0.25">
      <c r="A98" s="9" t="s">
        <v>72</v>
      </c>
      <c r="B98" s="9" t="s">
        <v>3</v>
      </c>
      <c r="C98" s="219">
        <f>'Prices_non-Labor'!$G$13</f>
        <v>1.2100000000000002</v>
      </c>
      <c r="D98" s="90">
        <v>1</v>
      </c>
      <c r="E98" s="65">
        <f>'Demographic Data'!$B$5</f>
        <v>1200000</v>
      </c>
      <c r="F98" s="51">
        <f>E98*D98*0.1</f>
        <v>120000</v>
      </c>
      <c r="G98" s="196">
        <f>SUM(C98*F98)</f>
        <v>145200.00000000003</v>
      </c>
      <c r="H98" s="61" t="s">
        <v>16</v>
      </c>
      <c r="I98" s="194"/>
      <c r="J98" s="70"/>
      <c r="K98" s="198"/>
      <c r="L98" s="64"/>
      <c r="M98" s="136"/>
      <c r="N98" s="69"/>
    </row>
    <row r="99" spans="1:17" x14ac:dyDescent="0.25">
      <c r="A99" s="9" t="s">
        <v>87</v>
      </c>
      <c r="B99" s="9" t="s">
        <v>3</v>
      </c>
      <c r="C99" s="43">
        <f>'Prices_non-Labor'!$G$15</f>
        <v>0</v>
      </c>
      <c r="D99" s="90">
        <v>3</v>
      </c>
      <c r="E99" s="65">
        <f>'Demographic Data'!$B$5</f>
        <v>1200000</v>
      </c>
      <c r="F99" s="51">
        <f>E99*D99</f>
        <v>3600000</v>
      </c>
      <c r="G99" s="196">
        <f>SUM(C99*F99)</f>
        <v>0</v>
      </c>
      <c r="H99" s="61" t="s">
        <v>16</v>
      </c>
      <c r="I99" s="205"/>
      <c r="J99" s="70"/>
      <c r="K99" s="198"/>
      <c r="L99" s="64"/>
      <c r="M99" s="136"/>
      <c r="N99" s="69"/>
    </row>
    <row r="100" spans="1:17" x14ac:dyDescent="0.25">
      <c r="A100" s="8"/>
      <c r="B100" s="8"/>
      <c r="C100" s="48"/>
      <c r="D100" s="8"/>
      <c r="E100" s="8"/>
      <c r="F100" s="8"/>
      <c r="G100" s="8"/>
      <c r="H100" s="8"/>
      <c r="I100" s="8"/>
      <c r="J100" s="8"/>
      <c r="K100" s="8"/>
      <c r="L100" s="66"/>
      <c r="M100" s="136"/>
      <c r="N100" s="69"/>
    </row>
    <row r="101" spans="1:17" x14ac:dyDescent="0.25">
      <c r="A101" s="175" t="s">
        <v>141</v>
      </c>
      <c r="B101" s="176" t="s">
        <v>32</v>
      </c>
      <c r="C101" s="176"/>
      <c r="D101" s="175" t="s">
        <v>68</v>
      </c>
      <c r="E101" s="175"/>
      <c r="F101" s="175"/>
      <c r="G101" s="176" t="s">
        <v>32</v>
      </c>
      <c r="H101" s="68"/>
      <c r="I101" s="49"/>
      <c r="J101" s="49"/>
      <c r="L101" s="54"/>
      <c r="M101" s="54"/>
    </row>
    <row r="102" spans="1:17" x14ac:dyDescent="0.25">
      <c r="A102" s="59" t="s">
        <v>75</v>
      </c>
      <c r="B102" s="65">
        <f>SUM(G97:G99)</f>
        <v>149556.00000000003</v>
      </c>
      <c r="C102" s="79"/>
      <c r="D102" s="433" t="s">
        <v>80</v>
      </c>
      <c r="E102" s="433"/>
      <c r="F102" s="433"/>
      <c r="G102" s="84">
        <f>B102/'Demographic Data'!$B$3</f>
        <v>14.955600000000002</v>
      </c>
      <c r="H102" s="69"/>
      <c r="I102" s="8"/>
      <c r="J102" s="8"/>
      <c r="K102" s="4"/>
      <c r="L102" s="55"/>
      <c r="M102" s="68"/>
      <c r="N102" s="8"/>
      <c r="O102" s="8"/>
      <c r="P102" s="8"/>
    </row>
    <row r="103" spans="1:17" x14ac:dyDescent="0.25">
      <c r="A103" s="59"/>
      <c r="B103" s="86"/>
      <c r="C103" s="79"/>
      <c r="D103" s="433" t="s">
        <v>81</v>
      </c>
      <c r="E103" s="433"/>
      <c r="F103" s="433"/>
      <c r="G103" s="84">
        <f>B102/'Demographic Data'!$B$4</f>
        <v>4.9852000000000007</v>
      </c>
      <c r="H103" s="69" t="s">
        <v>1</v>
      </c>
      <c r="I103" s="8"/>
      <c r="J103" s="8"/>
      <c r="L103" s="135"/>
      <c r="M103" s="69"/>
      <c r="N103" s="8"/>
      <c r="O103" s="8"/>
      <c r="P103" s="8"/>
    </row>
    <row r="104" spans="1:17" x14ac:dyDescent="0.25">
      <c r="A104" s="62"/>
      <c r="B104" s="83"/>
      <c r="C104" s="79"/>
      <c r="D104" s="426" t="s">
        <v>82</v>
      </c>
      <c r="E104" s="426"/>
      <c r="F104" s="426"/>
      <c r="G104" s="267">
        <f>B102/'Demographic Data'!$B$5</f>
        <v>0.12463000000000002</v>
      </c>
      <c r="H104" s="145"/>
      <c r="I104" s="8"/>
      <c r="J104" s="8"/>
      <c r="L104" s="135"/>
      <c r="M104" s="69"/>
      <c r="N104" s="8"/>
      <c r="O104" s="8"/>
      <c r="P104" s="8"/>
    </row>
    <row r="105" spans="1:17" x14ac:dyDescent="0.25">
      <c r="A105" s="59"/>
      <c r="B105" s="83"/>
      <c r="C105" s="59"/>
      <c r="D105" s="437" t="s">
        <v>185</v>
      </c>
      <c r="E105" s="437"/>
      <c r="F105" s="437"/>
      <c r="G105" s="268">
        <f>SUM(G98+G99)/'Demographic Data'!B5</f>
        <v>0.12100000000000002</v>
      </c>
      <c r="H105" s="199"/>
      <c r="I105" s="69"/>
      <c r="J105" s="8"/>
      <c r="K105" s="8"/>
      <c r="M105" s="135"/>
      <c r="N105" s="69"/>
      <c r="O105" s="8"/>
      <c r="P105" s="8"/>
      <c r="Q105" s="8"/>
    </row>
    <row r="106" spans="1:17" x14ac:dyDescent="0.25">
      <c r="G106" t="s">
        <v>1</v>
      </c>
      <c r="I106" s="69"/>
      <c r="L106" s="55"/>
      <c r="M106" s="135"/>
      <c r="N106" s="69"/>
      <c r="O106" s="8"/>
      <c r="P106" s="8"/>
      <c r="Q106" s="8"/>
    </row>
    <row r="107" spans="1:17" x14ac:dyDescent="0.25">
      <c r="A107" s="123"/>
      <c r="B107" s="55"/>
      <c r="C107" s="55"/>
      <c r="D107" s="56"/>
      <c r="E107" s="56"/>
      <c r="F107" s="56"/>
      <c r="G107" s="56"/>
      <c r="H107" s="56"/>
      <c r="I107" s="56"/>
      <c r="J107" s="56"/>
      <c r="K107" s="56"/>
      <c r="L107" s="56"/>
      <c r="M107" s="135"/>
      <c r="N107" s="69"/>
      <c r="O107" s="8"/>
      <c r="P107" s="8"/>
      <c r="Q107" s="8"/>
    </row>
    <row r="108" spans="1:17" s="8" customFormat="1" x14ac:dyDescent="0.25">
      <c r="A108" s="123"/>
      <c r="B108" s="55"/>
      <c r="C108" s="55"/>
      <c r="D108" s="56"/>
      <c r="E108" s="56"/>
      <c r="F108" s="56"/>
      <c r="G108" s="56"/>
      <c r="H108" s="56"/>
      <c r="I108" s="56"/>
      <c r="J108" s="56"/>
      <c r="K108" s="56"/>
      <c r="L108" s="56"/>
      <c r="M108" s="135"/>
      <c r="N108" s="69"/>
    </row>
    <row r="109" spans="1:17" s="8" customFormat="1" x14ac:dyDescent="0.25">
      <c r="D109" s="124"/>
      <c r="E109" s="163"/>
      <c r="F109" s="102"/>
      <c r="G109" s="197"/>
      <c r="H109" s="197"/>
      <c r="I109" s="194"/>
      <c r="J109" s="70"/>
      <c r="K109" s="198"/>
      <c r="L109" s="103"/>
      <c r="M109" s="135"/>
      <c r="N109" s="69"/>
    </row>
    <row r="110" spans="1:17" s="8" customFormat="1" x14ac:dyDescent="0.25">
      <c r="D110" s="163"/>
      <c r="E110" s="163"/>
      <c r="F110" s="102"/>
      <c r="G110" s="197"/>
      <c r="H110" s="197"/>
      <c r="I110" s="194"/>
      <c r="J110" s="70"/>
      <c r="K110" s="198"/>
      <c r="L110" s="103"/>
      <c r="M110" s="135"/>
      <c r="N110" s="69"/>
    </row>
    <row r="111" spans="1:17" s="8" customFormat="1" x14ac:dyDescent="0.25">
      <c r="D111" s="163"/>
      <c r="E111" s="163"/>
      <c r="F111" s="102"/>
      <c r="G111" s="70"/>
      <c r="H111" s="194"/>
      <c r="I111" s="194"/>
      <c r="J111" s="70"/>
      <c r="K111" s="198"/>
      <c r="L111" s="103"/>
      <c r="M111" s="135"/>
      <c r="N111" s="69"/>
    </row>
    <row r="112" spans="1:17" s="8" customFormat="1" x14ac:dyDescent="0.25">
      <c r="E112" s="163"/>
      <c r="F112" s="102"/>
      <c r="H112" s="70"/>
      <c r="I112" s="194"/>
      <c r="J112" s="70"/>
      <c r="K112" s="198"/>
      <c r="L112" s="103"/>
      <c r="M112" s="135"/>
      <c r="N112" s="69"/>
    </row>
    <row r="113" spans="1:22" s="8" customFormat="1" x14ac:dyDescent="0.25">
      <c r="C113" s="48"/>
      <c r="L113" s="67"/>
      <c r="M113" s="135"/>
      <c r="N113" s="69"/>
    </row>
    <row r="114" spans="1:22" s="8" customFormat="1" x14ac:dyDescent="0.25">
      <c r="B114" s="55"/>
      <c r="C114" s="55"/>
      <c r="D114" s="49"/>
      <c r="E114" s="49"/>
      <c r="F114" s="49"/>
      <c r="G114" s="55"/>
      <c r="H114" s="55"/>
      <c r="I114" s="68"/>
      <c r="J114" s="49"/>
      <c r="K114" s="49"/>
      <c r="M114" s="135"/>
      <c r="N114" s="69"/>
    </row>
    <row r="115" spans="1:22" s="8" customFormat="1" x14ac:dyDescent="0.25">
      <c r="B115" s="70"/>
      <c r="C115" s="135"/>
      <c r="D115" s="432"/>
      <c r="E115" s="432"/>
      <c r="F115" s="432"/>
      <c r="G115" s="125"/>
      <c r="H115" s="135"/>
      <c r="I115" s="69"/>
      <c r="L115" s="147"/>
      <c r="M115" s="135"/>
      <c r="N115" s="69"/>
    </row>
    <row r="116" spans="1:22" s="8" customFormat="1" x14ac:dyDescent="0.25">
      <c r="B116" s="70"/>
      <c r="C116" s="135"/>
      <c r="D116" s="432"/>
      <c r="E116" s="432"/>
      <c r="F116" s="432"/>
      <c r="G116" s="125"/>
      <c r="H116" s="199"/>
      <c r="I116" s="69"/>
      <c r="M116" s="135"/>
      <c r="N116" s="69"/>
    </row>
    <row r="117" spans="1:22" s="8" customFormat="1" x14ac:dyDescent="0.25">
      <c r="A117" s="48"/>
      <c r="B117" s="200"/>
      <c r="C117" s="201"/>
      <c r="D117" s="451"/>
      <c r="E117" s="451"/>
      <c r="F117" s="451"/>
      <c r="G117" s="70"/>
      <c r="H117" s="199"/>
      <c r="I117" s="145"/>
      <c r="M117" s="135"/>
      <c r="N117" s="69"/>
    </row>
    <row r="118" spans="1:22" s="8" customFormat="1" x14ac:dyDescent="0.25">
      <c r="A118" s="123"/>
      <c r="B118" s="55"/>
      <c r="C118" s="202"/>
      <c r="D118" s="56"/>
      <c r="E118" s="56"/>
      <c r="F118" s="56"/>
      <c r="G118" s="56"/>
      <c r="H118" s="203"/>
      <c r="I118" s="204"/>
      <c r="J118" s="56"/>
      <c r="K118" s="56"/>
      <c r="L118" s="56"/>
      <c r="M118" s="135"/>
      <c r="N118" s="69"/>
    </row>
    <row r="119" spans="1:22" x14ac:dyDescent="0.25">
      <c r="A119" s="8"/>
      <c r="B119" s="8"/>
      <c r="C119" s="8"/>
      <c r="D119" s="70"/>
      <c r="E119" s="70"/>
      <c r="F119" s="70"/>
      <c r="G119" s="124"/>
      <c r="H119" s="70"/>
      <c r="I119" s="70"/>
      <c r="J119" s="70"/>
      <c r="K119" s="70"/>
      <c r="L119" s="103"/>
      <c r="M119" s="54"/>
      <c r="N119" s="54"/>
    </row>
    <row r="120" spans="1:22" x14ac:dyDescent="0.25">
      <c r="A120" s="8"/>
      <c r="B120" s="8"/>
      <c r="C120" s="8"/>
      <c r="D120" s="8"/>
      <c r="E120" s="8"/>
      <c r="I120" s="432"/>
      <c r="J120" s="432"/>
      <c r="K120" s="432"/>
      <c r="L120" s="67"/>
      <c r="M120" s="67"/>
      <c r="N120" s="69"/>
    </row>
    <row r="121" spans="1:22" x14ac:dyDescent="0.25">
      <c r="A121" s="8"/>
      <c r="B121" s="8"/>
      <c r="C121" s="8"/>
      <c r="D121" s="8"/>
      <c r="E121" s="8"/>
      <c r="M121" s="67"/>
      <c r="N121" s="69"/>
    </row>
    <row r="122" spans="1:22" x14ac:dyDescent="0.25">
      <c r="A122" s="49"/>
      <c r="B122" s="55"/>
      <c r="C122" s="55"/>
      <c r="D122" s="8"/>
      <c r="E122" s="8"/>
      <c r="G122" s="80"/>
      <c r="M122" s="67"/>
      <c r="N122" s="69"/>
    </row>
    <row r="123" spans="1:22" x14ac:dyDescent="0.25">
      <c r="A123" s="8"/>
      <c r="B123" s="8"/>
      <c r="C123" s="49"/>
      <c r="D123" s="8"/>
      <c r="E123" s="206"/>
      <c r="G123" s="80"/>
      <c r="M123" s="8"/>
      <c r="N123" s="8"/>
    </row>
    <row r="124" spans="1:22" x14ac:dyDescent="0.25">
      <c r="A124" s="49"/>
      <c r="B124" s="194"/>
      <c r="C124" s="135"/>
      <c r="D124" s="8"/>
      <c r="E124" s="8"/>
      <c r="G124" s="80"/>
      <c r="M124" s="56"/>
      <c r="N124" s="56"/>
      <c r="O124" s="5"/>
      <c r="P124" s="5"/>
      <c r="Q124" s="5"/>
      <c r="R124" s="5"/>
      <c r="S124" s="4"/>
      <c r="T124" s="5"/>
      <c r="U124" s="5"/>
      <c r="V124" s="5"/>
    </row>
    <row r="125" spans="1:22" x14ac:dyDescent="0.25">
      <c r="A125" s="49"/>
      <c r="B125" s="194"/>
      <c r="C125" s="135"/>
      <c r="D125" s="8"/>
      <c r="E125" s="8"/>
      <c r="M125" s="8"/>
      <c r="N125" s="8"/>
      <c r="T125" s="42"/>
    </row>
    <row r="126" spans="1:22" x14ac:dyDescent="0.25">
      <c r="A126" s="49"/>
      <c r="B126" s="194"/>
      <c r="C126" s="49"/>
      <c r="D126" s="8"/>
      <c r="E126" s="8"/>
      <c r="M126" s="8"/>
      <c r="N126" s="8"/>
    </row>
    <row r="127" spans="1:22" x14ac:dyDescent="0.25">
      <c r="A127" s="49"/>
      <c r="B127" s="194"/>
      <c r="C127" s="135"/>
      <c r="D127" s="8"/>
      <c r="E127" s="8"/>
      <c r="N127" s="8"/>
    </row>
    <row r="128" spans="1:22" x14ac:dyDescent="0.25">
      <c r="A128" s="49"/>
      <c r="B128" s="194"/>
      <c r="C128" s="135"/>
      <c r="D128" s="8"/>
      <c r="E128" s="8"/>
      <c r="M128" s="55"/>
      <c r="N128" s="8"/>
    </row>
    <row r="129" spans="1:14" s="8" customFormat="1" x14ac:dyDescent="0.25">
      <c r="A129" s="49"/>
      <c r="B129" s="194"/>
      <c r="C129" s="135"/>
      <c r="E129" s="206"/>
      <c r="F129"/>
      <c r="G129"/>
      <c r="H129" s="1"/>
      <c r="I129"/>
      <c r="J129"/>
      <c r="K129"/>
      <c r="L129"/>
      <c r="M129" s="66"/>
    </row>
    <row r="130" spans="1:14" s="8" customFormat="1" ht="12" customHeight="1" x14ac:dyDescent="0.25">
      <c r="A130" s="49"/>
      <c r="F130"/>
      <c r="G130"/>
      <c r="H130" s="1"/>
      <c r="I130"/>
      <c r="J130"/>
      <c r="K130"/>
      <c r="L130"/>
      <c r="M130" s="67"/>
    </row>
    <row r="131" spans="1:14" s="8" customFormat="1" hidden="1" x14ac:dyDescent="0.25">
      <c r="A131" s="49"/>
      <c r="B131" s="55"/>
      <c r="C131" s="55"/>
      <c r="F131"/>
      <c r="G131"/>
      <c r="H131" s="1"/>
      <c r="I131"/>
      <c r="J131"/>
      <c r="K131"/>
      <c r="L131"/>
      <c r="M131" s="66"/>
    </row>
    <row r="132" spans="1:14" s="8" customFormat="1" hidden="1" x14ac:dyDescent="0.25">
      <c r="F132"/>
      <c r="G132"/>
      <c r="H132" s="1"/>
      <c r="I132"/>
      <c r="J132"/>
      <c r="K132"/>
      <c r="L132"/>
      <c r="M132" s="66"/>
    </row>
    <row r="133" spans="1:14" s="8" customFormat="1" ht="3" hidden="1" customHeight="1" x14ac:dyDescent="0.25">
      <c r="A133" s="49"/>
      <c r="B133" s="70"/>
      <c r="C133" s="67"/>
      <c r="D133" s="69"/>
      <c r="F133"/>
      <c r="G133"/>
      <c r="H133" s="1"/>
      <c r="I133"/>
      <c r="J133"/>
      <c r="K133"/>
      <c r="L133"/>
      <c r="M133" s="55"/>
      <c r="N133" s="68"/>
    </row>
    <row r="134" spans="1:14" s="8" customFormat="1" hidden="1" x14ac:dyDescent="0.25">
      <c r="A134" s="49"/>
      <c r="B134" s="194"/>
      <c r="C134" s="67"/>
      <c r="D134" s="69"/>
      <c r="F134"/>
      <c r="G134"/>
      <c r="H134" s="1"/>
      <c r="I134"/>
      <c r="J134"/>
      <c r="K134"/>
      <c r="L134"/>
      <c r="M134" s="67"/>
      <c r="N134" s="69"/>
    </row>
    <row r="135" spans="1:14" s="8" customFormat="1" hidden="1" x14ac:dyDescent="0.25">
      <c r="A135" s="49"/>
      <c r="B135" s="194"/>
      <c r="C135" s="67"/>
      <c r="D135" s="69"/>
      <c r="F135"/>
      <c r="G135"/>
      <c r="H135" s="1"/>
      <c r="I135"/>
      <c r="J135"/>
      <c r="K135"/>
      <c r="L135"/>
      <c r="M135" s="67"/>
      <c r="N135" s="69"/>
    </row>
    <row r="136" spans="1:14" s="8" customFormat="1" ht="6.75" hidden="1" customHeight="1" x14ac:dyDescent="0.25">
      <c r="A136" s="49"/>
      <c r="B136" s="194"/>
      <c r="C136" s="67"/>
      <c r="D136" s="69"/>
      <c r="F136"/>
      <c r="G136"/>
      <c r="H136" s="1"/>
      <c r="I136"/>
      <c r="J136"/>
      <c r="K136"/>
      <c r="L136"/>
    </row>
    <row r="137" spans="1:14" s="8" customFormat="1" hidden="1" x14ac:dyDescent="0.25">
      <c r="A137" s="49"/>
      <c r="B137" s="194"/>
      <c r="C137" s="67"/>
      <c r="D137" s="69"/>
      <c r="F137"/>
      <c r="G137"/>
      <c r="H137" s="1"/>
      <c r="I137"/>
      <c r="J137"/>
      <c r="K137"/>
      <c r="L137"/>
    </row>
    <row r="138" spans="1:14" s="8" customFormat="1" ht="14.25" hidden="1" customHeight="1" x14ac:dyDescent="0.25">
      <c r="A138" s="49"/>
      <c r="B138" s="198"/>
      <c r="C138" s="135"/>
      <c r="D138" s="69"/>
      <c r="F138"/>
      <c r="G138"/>
      <c r="H138" s="1"/>
      <c r="I138"/>
      <c r="J138"/>
      <c r="K138"/>
      <c r="L138"/>
    </row>
    <row r="139" spans="1:14" s="8" customFormat="1" hidden="1" x14ac:dyDescent="0.25">
      <c r="A139" s="49"/>
      <c r="F139"/>
      <c r="G139"/>
      <c r="H139" s="1"/>
      <c r="I139"/>
      <c r="J139"/>
      <c r="K139"/>
      <c r="L139"/>
    </row>
    <row r="140" spans="1:14" s="8" customFormat="1" hidden="1" x14ac:dyDescent="0.25">
      <c r="B140" s="194"/>
      <c r="F140"/>
      <c r="G140"/>
      <c r="H140" s="1"/>
      <c r="I140"/>
      <c r="J140"/>
      <c r="K140"/>
      <c r="L140"/>
    </row>
    <row r="141" spans="1:14" s="8" customFormat="1" hidden="1" x14ac:dyDescent="0.25">
      <c r="F141"/>
      <c r="G141"/>
      <c r="H141" s="1"/>
      <c r="I141"/>
      <c r="J141"/>
      <c r="K141"/>
      <c r="L141"/>
    </row>
    <row r="142" spans="1:14" s="8" customFormat="1" hidden="1" x14ac:dyDescent="0.25">
      <c r="F142"/>
      <c r="G142"/>
      <c r="H142" s="1"/>
      <c r="I142"/>
      <c r="J142"/>
      <c r="K142"/>
      <c r="L142"/>
    </row>
    <row r="143" spans="1:14" s="8" customFormat="1" hidden="1" x14ac:dyDescent="0.25">
      <c r="F143"/>
      <c r="G143"/>
      <c r="H143" s="1"/>
      <c r="I143"/>
      <c r="J143"/>
      <c r="K143"/>
      <c r="L143"/>
      <c r="M143" s="111"/>
      <c r="N143" s="118"/>
    </row>
    <row r="144" spans="1:14" s="8" customFormat="1" hidden="1" x14ac:dyDescent="0.25">
      <c r="F144"/>
      <c r="G144"/>
      <c r="H144" s="1"/>
      <c r="I144"/>
      <c r="J144"/>
      <c r="K144"/>
      <c r="L144"/>
      <c r="M144" s="71"/>
      <c r="N144" s="97"/>
    </row>
    <row r="145" spans="1:14" s="8" customFormat="1" hidden="1" x14ac:dyDescent="0.25">
      <c r="F145"/>
      <c r="G145"/>
      <c r="H145" s="1"/>
      <c r="I145"/>
      <c r="J145"/>
      <c r="K145"/>
      <c r="L145"/>
      <c r="M145" s="71"/>
      <c r="N145" s="97"/>
    </row>
    <row r="146" spans="1:14" s="8" customFormat="1" hidden="1" x14ac:dyDescent="0.25">
      <c r="F146"/>
      <c r="G146"/>
      <c r="H146" s="1"/>
      <c r="I146"/>
      <c r="J146"/>
      <c r="K146"/>
      <c r="L146"/>
      <c r="M146" s="71"/>
      <c r="N146" s="97"/>
    </row>
    <row r="147" spans="1:14" s="8" customFormat="1" hidden="1" x14ac:dyDescent="0.25">
      <c r="F147"/>
      <c r="G147"/>
      <c r="H147" s="1"/>
      <c r="I147"/>
      <c r="J147"/>
      <c r="K147"/>
      <c r="L147"/>
      <c r="M147" s="71"/>
      <c r="N147" s="97"/>
    </row>
    <row r="148" spans="1:14" s="8" customFormat="1" hidden="1" x14ac:dyDescent="0.25">
      <c r="F148"/>
      <c r="G148"/>
      <c r="H148" s="1"/>
      <c r="I148"/>
      <c r="J148"/>
      <c r="K148"/>
      <c r="L148"/>
      <c r="M148" s="67"/>
      <c r="N148" s="69"/>
    </row>
    <row r="149" spans="1:14" s="8" customFormat="1" hidden="1" x14ac:dyDescent="0.25">
      <c r="F149"/>
      <c r="G149"/>
      <c r="H149" s="1"/>
      <c r="I149"/>
      <c r="J149"/>
      <c r="K149"/>
      <c r="L149"/>
      <c r="M149" s="67"/>
      <c r="N149" s="69"/>
    </row>
    <row r="150" spans="1:14" s="8" customFormat="1" hidden="1" x14ac:dyDescent="0.25">
      <c r="F150"/>
      <c r="G150"/>
      <c r="H150" s="1"/>
      <c r="I150"/>
      <c r="J150"/>
      <c r="K150"/>
      <c r="L150"/>
      <c r="M150" s="67"/>
      <c r="N150" s="69"/>
    </row>
    <row r="151" spans="1:14" s="8" customFormat="1" hidden="1" x14ac:dyDescent="0.25">
      <c r="F151"/>
      <c r="G151"/>
      <c r="H151" s="1"/>
      <c r="I151"/>
      <c r="J151"/>
      <c r="K151"/>
      <c r="L151"/>
      <c r="M151" s="67"/>
      <c r="N151" s="69"/>
    </row>
    <row r="152" spans="1:14" s="8" customFormat="1" hidden="1" x14ac:dyDescent="0.25">
      <c r="F152"/>
      <c r="G152"/>
      <c r="H152" s="1"/>
      <c r="I152"/>
      <c r="J152"/>
      <c r="K152"/>
      <c r="L152"/>
      <c r="M152" s="111"/>
      <c r="N152" s="118"/>
    </row>
    <row r="153" spans="1:14" s="8" customFormat="1" hidden="1" x14ac:dyDescent="0.25">
      <c r="F153"/>
      <c r="G153"/>
      <c r="H153" s="1"/>
      <c r="I153"/>
      <c r="J153"/>
      <c r="K153"/>
      <c r="L153"/>
      <c r="M153" s="71"/>
      <c r="N153" s="97"/>
    </row>
    <row r="154" spans="1:14" s="8" customFormat="1" hidden="1" x14ac:dyDescent="0.25">
      <c r="F154"/>
      <c r="G154"/>
      <c r="H154" s="1"/>
      <c r="I154"/>
      <c r="J154"/>
      <c r="K154"/>
      <c r="L154"/>
      <c r="M154" s="67"/>
      <c r="N154" s="69"/>
    </row>
    <row r="155" spans="1:14" hidden="1" x14ac:dyDescent="0.25">
      <c r="A155" s="8"/>
      <c r="B155" s="8"/>
      <c r="C155" s="8"/>
      <c r="D155" s="8"/>
      <c r="E155" s="8"/>
      <c r="M155" s="67"/>
      <c r="N155" s="69"/>
    </row>
    <row r="156" spans="1:14" x14ac:dyDescent="0.25">
      <c r="A156" s="8"/>
      <c r="B156" s="8"/>
      <c r="C156" s="8"/>
      <c r="D156" s="8"/>
      <c r="E156" s="8"/>
    </row>
    <row r="157" spans="1:14" x14ac:dyDescent="0.25">
      <c r="A157" s="8"/>
      <c r="B157" s="8"/>
      <c r="C157" s="8"/>
      <c r="D157" s="8"/>
      <c r="E157" s="8"/>
    </row>
    <row r="158" spans="1:14" x14ac:dyDescent="0.25">
      <c r="A158" s="8"/>
      <c r="B158" s="8"/>
      <c r="C158" s="8"/>
      <c r="D158" s="8"/>
      <c r="E158" s="8"/>
    </row>
  </sheetData>
  <sheetProtection algorithmName="SHA-512" hashValue="taX0LYLTyE9qLIoSZ3bLiTLR9xvYM26D2GIoefM4ttm521Acb1uDZaswIflG5sj8U7UOu9wfvFvhfb2vnlleUw==" saltValue="eFce24QR1tnxpHDkpd1JSA==" spinCount="100000" sheet="1" objects="1" scenarios="1"/>
  <mergeCells count="20">
    <mergeCell ref="D93:F93"/>
    <mergeCell ref="I1:M1"/>
    <mergeCell ref="H28:J28"/>
    <mergeCell ref="I29:K29"/>
    <mergeCell ref="D64:F64"/>
    <mergeCell ref="D65:F65"/>
    <mergeCell ref="D66:F66"/>
    <mergeCell ref="D67:F67"/>
    <mergeCell ref="I68:K68"/>
    <mergeCell ref="D90:F90"/>
    <mergeCell ref="D91:F91"/>
    <mergeCell ref="D92:F92"/>
    <mergeCell ref="I120:K120"/>
    <mergeCell ref="D105:F105"/>
    <mergeCell ref="D102:F102"/>
    <mergeCell ref="D103:F103"/>
    <mergeCell ref="D104:F104"/>
    <mergeCell ref="D115:F115"/>
    <mergeCell ref="D116:F116"/>
    <mergeCell ref="D117:F117"/>
  </mergeCells>
  <dataValidations count="1">
    <dataValidation type="list" allowBlank="1" showInputMessage="1" showErrorMessage="1" sqref="L119 L62 L31:L32 L97:L99 L109:L112 L23 H12:H22 H35:H61 L88 H73:H87 H97:H99" xr:uid="{4852F1D6-151B-4D33-899D-82944F176738}">
      <formula1>"Yes, No, N/A"</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9AB7DEF0-3151-46C1-BF4E-6BC2CC8BA842}">
          <x14:formula1>
            <xm:f>'Reference Sheet'!$E$2:$E$10</xm:f>
          </x14:formula1>
          <xm:sqref>B119 B109 B31:B32 B35:B62 B97 B12:B23 B73:B88</xm:sqref>
        </x14:dataValidation>
        <x14:dataValidation type="list" allowBlank="1" showInputMessage="1" showErrorMessage="1" xr:uid="{46DF8DB5-0E7A-4D2B-84CC-562F82E65C66}">
          <x14:formula1>
            <xm:f>'Reference Sheet'!$E$3:$E$10</xm:f>
          </x14:formula1>
          <xm:sqref>B110:B112 B98:B99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F5902-412C-4AAD-9147-20F92DE51DB2}">
  <dimension ref="A1:D60"/>
  <sheetViews>
    <sheetView zoomScaleNormal="100" workbookViewId="0">
      <selection activeCell="A29" sqref="A29"/>
    </sheetView>
  </sheetViews>
  <sheetFormatPr defaultRowHeight="15" x14ac:dyDescent="0.25"/>
  <cols>
    <col min="1" max="2" width="62.5703125" style="49" customWidth="1"/>
    <col min="3" max="3" width="23.5703125" style="49" customWidth="1"/>
    <col min="4" max="4" width="58.140625" style="49" customWidth="1"/>
    <col min="5" max="5" width="19.5703125" style="49" customWidth="1"/>
    <col min="6" max="16384" width="9.140625" style="49"/>
  </cols>
  <sheetData>
    <row r="1" spans="1:2" x14ac:dyDescent="0.25">
      <c r="A1" s="409" t="s">
        <v>211</v>
      </c>
      <c r="B1" s="409"/>
    </row>
    <row r="2" spans="1:2" x14ac:dyDescent="0.25">
      <c r="A2"/>
      <c r="B2" s="5"/>
    </row>
    <row r="3" spans="1:2" ht="15.75" x14ac:dyDescent="0.25">
      <c r="A3" s="410" t="s">
        <v>332</v>
      </c>
      <c r="B3" s="410"/>
    </row>
    <row r="4" spans="1:2" s="123" customFormat="1" x14ac:dyDescent="0.25">
      <c r="A4" s="418" t="s">
        <v>353</v>
      </c>
      <c r="B4" s="418"/>
    </row>
    <row r="5" spans="1:2" s="123" customFormat="1" ht="84.75" customHeight="1" x14ac:dyDescent="0.25">
      <c r="A5" s="412"/>
      <c r="B5" s="412"/>
    </row>
    <row r="6" spans="1:2" x14ac:dyDescent="0.25">
      <c r="A6" s="236" t="s">
        <v>333</v>
      </c>
      <c r="B6" s="237" t="s">
        <v>336</v>
      </c>
    </row>
    <row r="7" spans="1:2" x14ac:dyDescent="0.25">
      <c r="A7" s="236" t="s">
        <v>334</v>
      </c>
      <c r="B7" s="242" t="s">
        <v>335</v>
      </c>
    </row>
    <row r="8" spans="1:2" ht="27" customHeight="1" x14ac:dyDescent="0.25">
      <c r="A8" s="239" t="s">
        <v>154</v>
      </c>
      <c r="B8" s="239" t="s">
        <v>155</v>
      </c>
    </row>
    <row r="9" spans="1:2" ht="27.75" customHeight="1" x14ac:dyDescent="0.25">
      <c r="A9" s="239" t="s">
        <v>156</v>
      </c>
      <c r="B9" s="239" t="s">
        <v>157</v>
      </c>
    </row>
    <row r="10" spans="1:2" ht="74.25" customHeight="1" x14ac:dyDescent="0.25">
      <c r="A10" s="240" t="s">
        <v>3</v>
      </c>
      <c r="B10" s="241" t="s">
        <v>158</v>
      </c>
    </row>
    <row r="11" spans="1:2" ht="24.75" customHeight="1" x14ac:dyDescent="0.25">
      <c r="A11" s="240" t="s">
        <v>159</v>
      </c>
      <c r="B11" s="242" t="s">
        <v>337</v>
      </c>
    </row>
    <row r="12" spans="1:2" ht="52.5" customHeight="1" x14ac:dyDescent="0.25">
      <c r="A12" s="240" t="s">
        <v>160</v>
      </c>
      <c r="B12" s="242" t="s">
        <v>338</v>
      </c>
    </row>
    <row r="13" spans="1:2" ht="64.5" customHeight="1" x14ac:dyDescent="0.25">
      <c r="A13" s="240" t="s">
        <v>161</v>
      </c>
      <c r="B13" s="242" t="s">
        <v>339</v>
      </c>
    </row>
    <row r="14" spans="1:2" ht="66" customHeight="1" x14ac:dyDescent="0.25">
      <c r="A14" s="240" t="s">
        <v>162</v>
      </c>
      <c r="B14" s="242" t="s">
        <v>340</v>
      </c>
    </row>
    <row r="15" spans="1:2" ht="51.75" customHeight="1" x14ac:dyDescent="0.25">
      <c r="A15" s="240" t="s">
        <v>163</v>
      </c>
      <c r="B15" s="242" t="s">
        <v>341</v>
      </c>
    </row>
    <row r="16" spans="1:2" x14ac:dyDescent="0.25">
      <c r="A16" s="243"/>
      <c r="B16" s="244"/>
    </row>
    <row r="17" spans="1:2" ht="15.75" x14ac:dyDescent="0.25">
      <c r="A17" s="419" t="s">
        <v>164</v>
      </c>
      <c r="B17" s="420"/>
    </row>
    <row r="18" spans="1:2" x14ac:dyDescent="0.25">
      <c r="A18" s="414" t="s">
        <v>342</v>
      </c>
      <c r="B18" s="415"/>
    </row>
    <row r="19" spans="1:2" ht="36.75" customHeight="1" x14ac:dyDescent="0.25">
      <c r="A19" s="416"/>
      <c r="B19" s="417"/>
    </row>
    <row r="20" spans="1:2" ht="30" customHeight="1" x14ac:dyDescent="0.25">
      <c r="A20" s="238" t="s">
        <v>165</v>
      </c>
      <c r="B20" s="62" t="s">
        <v>166</v>
      </c>
    </row>
    <row r="21" spans="1:2" x14ac:dyDescent="0.25">
      <c r="A21" s="245"/>
      <c r="B21" s="246"/>
    </row>
    <row r="22" spans="1:2" ht="15.75" x14ac:dyDescent="0.25">
      <c r="A22" s="411" t="s">
        <v>167</v>
      </c>
      <c r="B22" s="411"/>
    </row>
    <row r="23" spans="1:2" ht="15.75" x14ac:dyDescent="0.25">
      <c r="A23" s="411" t="s">
        <v>256</v>
      </c>
      <c r="B23" s="411"/>
    </row>
    <row r="24" spans="1:2" ht="174" customHeight="1" x14ac:dyDescent="0.25">
      <c r="A24" s="412" t="s">
        <v>354</v>
      </c>
      <c r="B24" s="413"/>
    </row>
    <row r="25" spans="1:2" x14ac:dyDescent="0.25">
      <c r="A25" s="247"/>
      <c r="B25" s="237"/>
    </row>
    <row r="26" spans="1:2" ht="36.75" customHeight="1" x14ac:dyDescent="0.25">
      <c r="A26" s="248" t="s">
        <v>168</v>
      </c>
      <c r="B26" s="237" t="s">
        <v>169</v>
      </c>
    </row>
    <row r="27" spans="1:2" ht="44.25" customHeight="1" x14ac:dyDescent="0.25">
      <c r="A27" s="236" t="s">
        <v>170</v>
      </c>
      <c r="B27" s="237" t="s">
        <v>343</v>
      </c>
    </row>
    <row r="28" spans="1:2" ht="46.5" customHeight="1" x14ac:dyDescent="0.25">
      <c r="A28" s="236" t="s">
        <v>171</v>
      </c>
      <c r="B28" s="237" t="s">
        <v>357</v>
      </c>
    </row>
    <row r="29" spans="1:2" ht="51.75" customHeight="1" x14ac:dyDescent="0.25">
      <c r="A29" s="240" t="s">
        <v>172</v>
      </c>
      <c r="B29" s="237" t="s">
        <v>344</v>
      </c>
    </row>
    <row r="30" spans="1:2" ht="56.25" customHeight="1" x14ac:dyDescent="0.25">
      <c r="A30" s="240" t="s">
        <v>173</v>
      </c>
      <c r="B30" s="237" t="s">
        <v>345</v>
      </c>
    </row>
    <row r="31" spans="1:2" x14ac:dyDescent="0.25">
      <c r="A31" s="240" t="s">
        <v>174</v>
      </c>
      <c r="B31" s="237" t="s">
        <v>175</v>
      </c>
    </row>
    <row r="32" spans="1:2" x14ac:dyDescent="0.25">
      <c r="A32" s="240" t="s">
        <v>176</v>
      </c>
      <c r="B32" s="237" t="s">
        <v>177</v>
      </c>
    </row>
    <row r="33" spans="1:2" x14ac:dyDescent="0.25">
      <c r="A33" s="240" t="s">
        <v>178</v>
      </c>
      <c r="B33" s="237" t="s">
        <v>197</v>
      </c>
    </row>
    <row r="34" spans="1:2" x14ac:dyDescent="0.25">
      <c r="A34" s="7"/>
      <c r="B34" s="7"/>
    </row>
    <row r="35" spans="1:2" ht="15.75" x14ac:dyDescent="0.25">
      <c r="A35" s="419" t="s">
        <v>196</v>
      </c>
      <c r="B35" s="420"/>
    </row>
    <row r="36" spans="1:2" ht="15.75" x14ac:dyDescent="0.25">
      <c r="A36" s="419" t="s">
        <v>72</v>
      </c>
      <c r="B36" s="420"/>
    </row>
    <row r="37" spans="1:2" ht="98.25" customHeight="1" x14ac:dyDescent="0.25">
      <c r="A37" s="423" t="s">
        <v>346</v>
      </c>
      <c r="B37" s="424"/>
    </row>
    <row r="38" spans="1:2" ht="30" customHeight="1" x14ac:dyDescent="0.25">
      <c r="A38" s="249" t="s">
        <v>179</v>
      </c>
      <c r="B38" s="237" t="s">
        <v>180</v>
      </c>
    </row>
    <row r="39" spans="1:2" ht="30" x14ac:dyDescent="0.25">
      <c r="A39" s="249" t="s">
        <v>170</v>
      </c>
      <c r="B39" s="237" t="s">
        <v>181</v>
      </c>
    </row>
    <row r="40" spans="1:2" x14ac:dyDescent="0.25">
      <c r="A40" s="239" t="s">
        <v>171</v>
      </c>
      <c r="B40" s="237" t="s">
        <v>195</v>
      </c>
    </row>
    <row r="41" spans="1:2" x14ac:dyDescent="0.25">
      <c r="A41" s="239" t="s">
        <v>172</v>
      </c>
      <c r="B41" s="237" t="s">
        <v>182</v>
      </c>
    </row>
    <row r="42" spans="1:2" ht="30" x14ac:dyDescent="0.25">
      <c r="A42" s="239" t="s">
        <v>173</v>
      </c>
      <c r="B42" s="237" t="s">
        <v>347</v>
      </c>
    </row>
    <row r="43" spans="1:2" ht="27.75" customHeight="1" x14ac:dyDescent="0.25">
      <c r="A43" s="239" t="s">
        <v>174</v>
      </c>
      <c r="B43" s="237" t="s">
        <v>194</v>
      </c>
    </row>
    <row r="44" spans="1:2" x14ac:dyDescent="0.25">
      <c r="A44" s="239" t="s">
        <v>176</v>
      </c>
      <c r="B44" s="250">
        <v>0.1</v>
      </c>
    </row>
    <row r="45" spans="1:2" x14ac:dyDescent="0.25">
      <c r="A45" s="239" t="s">
        <v>178</v>
      </c>
      <c r="B45" s="237" t="s">
        <v>197</v>
      </c>
    </row>
    <row r="46" spans="1:2" ht="15.75" x14ac:dyDescent="0.25">
      <c r="A46" s="425" t="s">
        <v>331</v>
      </c>
      <c r="B46" s="425"/>
    </row>
    <row r="47" spans="1:2" ht="22.5" customHeight="1" x14ac:dyDescent="0.25">
      <c r="A47" s="421" t="s">
        <v>212</v>
      </c>
      <c r="B47" s="422"/>
    </row>
    <row r="48" spans="1:2" ht="27" customHeight="1" x14ac:dyDescent="0.25">
      <c r="A48" s="251" t="s">
        <v>179</v>
      </c>
      <c r="B48" s="237" t="s">
        <v>193</v>
      </c>
    </row>
    <row r="49" spans="1:4" x14ac:dyDescent="0.25">
      <c r="A49" s="397" t="s">
        <v>178</v>
      </c>
      <c r="B49" s="237" t="s">
        <v>183</v>
      </c>
    </row>
    <row r="50" spans="1:4" x14ac:dyDescent="0.25">
      <c r="A50" s="404"/>
      <c r="B50" s="404"/>
    </row>
    <row r="51" spans="1:4" ht="15.75" x14ac:dyDescent="0.25">
      <c r="A51" s="408" t="s">
        <v>255</v>
      </c>
      <c r="B51" s="408"/>
    </row>
    <row r="52" spans="1:4" s="395" customFormat="1" ht="72.75" customHeight="1" x14ac:dyDescent="0.25">
      <c r="A52" s="405" t="s">
        <v>355</v>
      </c>
      <c r="B52" s="406"/>
    </row>
    <row r="53" spans="1:4" s="395" customFormat="1" ht="29.25" customHeight="1" x14ac:dyDescent="0.25">
      <c r="A53" s="398" t="s">
        <v>348</v>
      </c>
      <c r="B53" s="399" t="s">
        <v>349</v>
      </c>
    </row>
    <row r="54" spans="1:4" ht="45" x14ac:dyDescent="0.25">
      <c r="A54" s="9" t="s">
        <v>257</v>
      </c>
      <c r="B54" s="238" t="s">
        <v>350</v>
      </c>
    </row>
    <row r="55" spans="1:4" ht="60" x14ac:dyDescent="0.25">
      <c r="A55" s="9" t="s">
        <v>258</v>
      </c>
      <c r="B55" s="238" t="s">
        <v>351</v>
      </c>
    </row>
    <row r="56" spans="1:4" ht="45" x14ac:dyDescent="0.25">
      <c r="A56" s="281" t="s">
        <v>259</v>
      </c>
      <c r="B56" s="328" t="s">
        <v>352</v>
      </c>
      <c r="D56" s="147"/>
    </row>
    <row r="57" spans="1:4" ht="35.25" customHeight="1" x14ac:dyDescent="0.25">
      <c r="A57" s="407" t="s">
        <v>1</v>
      </c>
      <c r="B57" s="407"/>
    </row>
    <row r="60" spans="1:4" x14ac:dyDescent="0.25">
      <c r="A60" s="396"/>
    </row>
  </sheetData>
  <sheetProtection algorithmName="SHA-512" hashValue="nxUKVIfxOzyeEXM9aIJX79h9djWraEhJ0rh2NbSghw2dB98L1+1MhjdrHy73YIeOyNKA+14Vm/0HJ2ZVaJbFbw==" saltValue="O8PnBH0M+mxYwtW7GJnP+g==" spinCount="100000" sheet="1" objects="1" scenarios="1"/>
  <mergeCells count="17">
    <mergeCell ref="A36:B36"/>
    <mergeCell ref="A50:B50"/>
    <mergeCell ref="A52:B52"/>
    <mergeCell ref="A57:B57"/>
    <mergeCell ref="A51:B51"/>
    <mergeCell ref="A1:B1"/>
    <mergeCell ref="A3:B3"/>
    <mergeCell ref="A23:B23"/>
    <mergeCell ref="A24:B24"/>
    <mergeCell ref="A18:B19"/>
    <mergeCell ref="A22:B22"/>
    <mergeCell ref="A4:B5"/>
    <mergeCell ref="A17:B17"/>
    <mergeCell ref="A47:B47"/>
    <mergeCell ref="A37:B37"/>
    <mergeCell ref="A46:B46"/>
    <mergeCell ref="A35:B35"/>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242B7-A032-4391-836F-48110AF014A5}">
  <dimension ref="A1:G38"/>
  <sheetViews>
    <sheetView topLeftCell="A22" workbookViewId="0">
      <selection activeCell="U18" sqref="U18"/>
    </sheetView>
  </sheetViews>
  <sheetFormatPr defaultRowHeight="15" x14ac:dyDescent="0.25"/>
  <cols>
    <col min="2" max="2" width="19.42578125" customWidth="1"/>
  </cols>
  <sheetData>
    <row r="1" spans="1:7" ht="52.5" customHeight="1" x14ac:dyDescent="0.25">
      <c r="A1" s="482" t="s">
        <v>364</v>
      </c>
      <c r="B1" s="482"/>
      <c r="C1" s="482"/>
      <c r="D1" s="482"/>
      <c r="E1" s="482"/>
      <c r="F1" s="482"/>
      <c r="G1" s="482"/>
    </row>
    <row r="6" spans="1:7" x14ac:dyDescent="0.25">
      <c r="A6" s="483" t="s">
        <v>365</v>
      </c>
      <c r="B6" s="483"/>
    </row>
    <row r="7" spans="1:7" x14ac:dyDescent="0.25">
      <c r="A7" s="483"/>
      <c r="B7" s="483"/>
    </row>
    <row r="8" spans="1:7" x14ac:dyDescent="0.25">
      <c r="A8" s="483"/>
      <c r="B8" s="483"/>
    </row>
    <row r="9" spans="1:7" x14ac:dyDescent="0.25">
      <c r="A9" s="483"/>
      <c r="B9" s="483"/>
    </row>
    <row r="10" spans="1:7" x14ac:dyDescent="0.25">
      <c r="A10" s="483"/>
      <c r="B10" s="483"/>
    </row>
    <row r="11" spans="1:7" x14ac:dyDescent="0.25">
      <c r="A11" s="483"/>
      <c r="B11" s="483"/>
    </row>
    <row r="12" spans="1:7" x14ac:dyDescent="0.25">
      <c r="A12" s="483"/>
      <c r="B12" s="483"/>
    </row>
    <row r="13" spans="1:7" x14ac:dyDescent="0.25">
      <c r="A13" s="483"/>
      <c r="B13" s="483"/>
    </row>
    <row r="14" spans="1:7" x14ac:dyDescent="0.25">
      <c r="A14" s="483"/>
      <c r="B14" s="483"/>
    </row>
    <row r="29" spans="1:2" ht="120.75" customHeight="1" x14ac:dyDescent="0.25">
      <c r="A29" s="483" t="s">
        <v>366</v>
      </c>
      <c r="B29" s="483"/>
    </row>
    <row r="30" spans="1:2" ht="15" hidden="1" customHeight="1" x14ac:dyDescent="0.25">
      <c r="A30" s="483"/>
      <c r="B30" s="483"/>
    </row>
    <row r="31" spans="1:2" ht="15" hidden="1" customHeight="1" x14ac:dyDescent="0.25">
      <c r="A31" s="483"/>
      <c r="B31" s="483"/>
    </row>
    <row r="32" spans="1:2" ht="15" hidden="1" customHeight="1" x14ac:dyDescent="0.25">
      <c r="A32" s="483"/>
      <c r="B32" s="483"/>
    </row>
    <row r="33" spans="1:2" ht="15" hidden="1" customHeight="1" x14ac:dyDescent="0.25">
      <c r="A33" s="483"/>
      <c r="B33" s="483"/>
    </row>
    <row r="34" spans="1:2" ht="15" hidden="1" customHeight="1" x14ac:dyDescent="0.25">
      <c r="A34" s="483"/>
      <c r="B34" s="483"/>
    </row>
    <row r="35" spans="1:2" ht="15" hidden="1" customHeight="1" x14ac:dyDescent="0.25">
      <c r="A35" s="483"/>
      <c r="B35" s="483"/>
    </row>
    <row r="36" spans="1:2" ht="15" hidden="1" customHeight="1" x14ac:dyDescent="0.25">
      <c r="A36" s="483"/>
      <c r="B36" s="483"/>
    </row>
    <row r="37" spans="1:2" x14ac:dyDescent="0.25">
      <c r="A37" s="483"/>
      <c r="B37" s="483"/>
    </row>
    <row r="38" spans="1:2" x14ac:dyDescent="0.25">
      <c r="A38" s="483"/>
      <c r="B38" s="483"/>
    </row>
  </sheetData>
  <mergeCells count="3">
    <mergeCell ref="A1:G1"/>
    <mergeCell ref="A6:B14"/>
    <mergeCell ref="A29:B3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5A922-93BE-49AF-8B54-3ED8F0C45A6A}">
  <sheetPr>
    <tabColor theme="0"/>
  </sheetPr>
  <dimension ref="A4:S97"/>
  <sheetViews>
    <sheetView topLeftCell="A77" zoomScale="110" zoomScaleNormal="110" workbookViewId="0">
      <selection activeCell="F104" sqref="F104"/>
    </sheetView>
  </sheetViews>
  <sheetFormatPr defaultRowHeight="15" x14ac:dyDescent="0.25"/>
  <cols>
    <col min="1" max="1" width="49.7109375" customWidth="1"/>
    <col min="2" max="2" width="16.5703125" customWidth="1"/>
    <col min="3" max="3" width="13.7109375" customWidth="1"/>
    <col min="4" max="4" width="16.5703125" customWidth="1"/>
    <col min="5" max="5" width="13.42578125" customWidth="1"/>
    <col min="6" max="6" width="20.28515625" customWidth="1"/>
    <col min="7" max="7" width="15.140625" customWidth="1"/>
    <col min="8" max="8" width="20.7109375" customWidth="1"/>
    <col min="9" max="9" width="14.28515625" customWidth="1"/>
    <col min="10" max="11" width="22" customWidth="1"/>
    <col min="12" max="12" width="14" customWidth="1"/>
    <col min="13" max="13" width="13.140625" customWidth="1"/>
  </cols>
  <sheetData>
    <row r="4" spans="1:19" x14ac:dyDescent="0.25">
      <c r="J4" s="8"/>
      <c r="K4" s="8"/>
      <c r="L4" s="8"/>
      <c r="M4" s="8"/>
      <c r="N4" s="8"/>
      <c r="O4" s="8"/>
      <c r="P4" s="8"/>
      <c r="Q4" s="8"/>
      <c r="R4" s="8"/>
      <c r="S4" s="8"/>
    </row>
    <row r="5" spans="1:19" x14ac:dyDescent="0.25">
      <c r="A5" s="269" t="s">
        <v>1</v>
      </c>
      <c r="B5" s="230" t="s">
        <v>323</v>
      </c>
      <c r="C5" s="230" t="s">
        <v>152</v>
      </c>
      <c r="D5" s="230" t="s">
        <v>323</v>
      </c>
      <c r="E5" s="230" t="s">
        <v>152</v>
      </c>
      <c r="F5" s="230" t="s">
        <v>323</v>
      </c>
      <c r="G5" s="230" t="s">
        <v>152</v>
      </c>
      <c r="H5" s="230" t="s">
        <v>323</v>
      </c>
      <c r="I5" s="230" t="s">
        <v>152</v>
      </c>
      <c r="J5" s="8"/>
      <c r="K5" s="8"/>
      <c r="L5" s="232"/>
      <c r="M5" s="232"/>
      <c r="N5" s="232"/>
      <c r="O5" s="232"/>
      <c r="P5" s="232"/>
      <c r="Q5" s="232"/>
      <c r="R5" s="232"/>
      <c r="S5" s="232"/>
    </row>
    <row r="6" spans="1:19" x14ac:dyDescent="0.25">
      <c r="A6" s="9"/>
      <c r="B6" s="378" t="s">
        <v>147</v>
      </c>
      <c r="C6" s="378" t="s">
        <v>147</v>
      </c>
      <c r="D6" s="379" t="s">
        <v>148</v>
      </c>
      <c r="E6" s="379" t="s">
        <v>148</v>
      </c>
      <c r="F6" s="351" t="s">
        <v>149</v>
      </c>
      <c r="G6" s="351" t="s">
        <v>149</v>
      </c>
      <c r="H6" s="377" t="s">
        <v>150</v>
      </c>
      <c r="I6" s="377" t="s">
        <v>150</v>
      </c>
      <c r="J6" s="380" t="s">
        <v>316</v>
      </c>
      <c r="K6" s="8"/>
      <c r="L6" s="49"/>
      <c r="M6" s="49"/>
      <c r="N6" s="49"/>
      <c r="O6" s="49"/>
      <c r="P6" s="49"/>
      <c r="Q6" s="49"/>
      <c r="R6" s="49"/>
      <c r="S6" s="49"/>
    </row>
    <row r="7" spans="1:19" ht="27.75" customHeight="1" x14ac:dyDescent="0.25">
      <c r="A7" s="9"/>
      <c r="B7" s="230"/>
      <c r="C7" s="230"/>
      <c r="D7" s="230"/>
      <c r="E7" s="230"/>
      <c r="F7" s="230"/>
      <c r="G7" s="230"/>
      <c r="H7" s="230"/>
      <c r="I7" s="230"/>
      <c r="J7" s="8"/>
      <c r="K7" s="8"/>
      <c r="L7" s="232"/>
      <c r="M7" s="232"/>
      <c r="N7" s="232"/>
      <c r="O7" s="232"/>
      <c r="P7" s="232"/>
      <c r="Q7" s="232"/>
      <c r="R7" s="232"/>
      <c r="S7" s="232"/>
    </row>
    <row r="8" spans="1:19" x14ac:dyDescent="0.25">
      <c r="A8" s="10" t="s">
        <v>151</v>
      </c>
      <c r="B8" s="81">
        <f>Model_Yr1!D3</f>
        <v>5.1073133333333338</v>
      </c>
      <c r="C8" s="231">
        <f>Model_Yr1!C3</f>
        <v>0.74617463964719755</v>
      </c>
      <c r="D8" s="43">
        <f>Model_Yr2!D3</f>
        <v>3.0880713333333336</v>
      </c>
      <c r="E8" s="231">
        <f>Model_Yr2!C3</f>
        <v>0.7837124839852555</v>
      </c>
      <c r="F8" s="43">
        <f>'Model_Yr 3'!D3</f>
        <v>2.5221141466666674</v>
      </c>
      <c r="G8" s="231">
        <f>'Model_Yr 3'!C3</f>
        <v>0.73720129092466147</v>
      </c>
      <c r="H8" s="81">
        <f>'Model_Yr 4'!D3</f>
        <v>2.6141749264000005</v>
      </c>
      <c r="I8" s="231">
        <f>'Model_Yr 4'!C3</f>
        <v>0.5450231661681445</v>
      </c>
      <c r="J8" s="206">
        <f>SUM(B8+D8+F8+H8)</f>
        <v>13.331673739733336</v>
      </c>
      <c r="K8" s="49"/>
      <c r="L8" s="206"/>
      <c r="M8" s="206"/>
      <c r="N8" s="149"/>
      <c r="O8" s="149"/>
      <c r="P8" s="149"/>
      <c r="Q8" s="149"/>
      <c r="R8" s="206"/>
      <c r="S8" s="206"/>
    </row>
    <row r="9" spans="1:19" x14ac:dyDescent="0.25">
      <c r="A9" s="10"/>
      <c r="B9" s="9"/>
      <c r="C9" s="9"/>
      <c r="D9" s="9"/>
      <c r="E9" s="9"/>
      <c r="F9" s="43"/>
      <c r="G9" s="9"/>
      <c r="H9" s="9"/>
      <c r="I9" s="9"/>
      <c r="J9" s="8"/>
      <c r="K9" s="49"/>
      <c r="L9" s="8"/>
      <c r="M9" s="8"/>
      <c r="N9" s="8"/>
      <c r="O9" s="8"/>
      <c r="P9" s="149"/>
      <c r="Q9" s="8"/>
      <c r="R9" s="8"/>
      <c r="S9" s="8"/>
    </row>
    <row r="10" spans="1:19" x14ac:dyDescent="0.25">
      <c r="A10" s="10" t="s">
        <v>3</v>
      </c>
      <c r="B10" s="81">
        <f>Model_Yr1!D6</f>
        <v>1.03</v>
      </c>
      <c r="C10" s="231">
        <f>Model_Yr1!C6</f>
        <v>0.15048222591328775</v>
      </c>
      <c r="D10" s="43">
        <f>Model_Yr2!D6</f>
        <v>0.1133</v>
      </c>
      <c r="E10" s="231">
        <f>Model_Yr2!C6</f>
        <v>2.8754071668312963E-2</v>
      </c>
      <c r="F10" s="43">
        <f>'Model_Yr 3'!D6</f>
        <v>0.12463000000000002</v>
      </c>
      <c r="G10" s="231">
        <f>'Model_Yr 3'!C6</f>
        <v>3.6428722708434759E-2</v>
      </c>
      <c r="H10" s="81">
        <f>'Model_Yr 4'!D6</f>
        <v>1.3709300000000004</v>
      </c>
      <c r="I10" s="231">
        <f>'Model_Yr 4'!C6</f>
        <v>0.2858219630404969</v>
      </c>
      <c r="J10" s="206">
        <f>SUM(B10+D10+F10+H10)</f>
        <v>2.6388600000000002</v>
      </c>
      <c r="K10" s="49"/>
      <c r="L10" s="206"/>
      <c r="M10" s="233"/>
      <c r="N10" s="149"/>
      <c r="O10" s="233"/>
      <c r="P10" s="149"/>
      <c r="Q10" s="234"/>
      <c r="R10" s="206"/>
      <c r="S10" s="233"/>
    </row>
    <row r="11" spans="1:19" x14ac:dyDescent="0.25">
      <c r="A11" s="10" t="s">
        <v>314</v>
      </c>
      <c r="B11" s="81">
        <f>Model_Yr1!D7</f>
        <v>0.70734884353741501</v>
      </c>
      <c r="C11" s="231">
        <f>Model_Yr1!C7</f>
        <v>0.10334313443951468</v>
      </c>
      <c r="D11" s="81">
        <f>Model_Yr2!D7</f>
        <v>0.73894019217687079</v>
      </c>
      <c r="E11" s="231">
        <f>Model_Yr2!C7</f>
        <v>0.18753344434643157</v>
      </c>
      <c r="F11" s="43">
        <f>'Model_Yr 3'!D7</f>
        <v>0.77445733210884349</v>
      </c>
      <c r="G11" s="231">
        <f>'Model_Yr 3'!C7</f>
        <v>0.22636998636690381</v>
      </c>
      <c r="H11" s="81">
        <f>'Model_Yr 4'!D7</f>
        <v>0.81134243340544221</v>
      </c>
      <c r="I11" s="231">
        <f>'Model_Yr 4'!C7</f>
        <v>0.16915487079135846</v>
      </c>
      <c r="J11" s="206">
        <f>SUM(B11+D11+F11+H11)</f>
        <v>3.0320888012285714</v>
      </c>
      <c r="K11" s="8"/>
      <c r="L11" s="8"/>
      <c r="M11" s="8"/>
      <c r="N11" s="8"/>
      <c r="O11" s="8"/>
      <c r="P11" s="149"/>
      <c r="Q11" s="8"/>
      <c r="R11" s="8"/>
      <c r="S11" s="8"/>
    </row>
    <row r="12" spans="1:19" s="229" customFormat="1" x14ac:dyDescent="0.25">
      <c r="A12" s="112" t="s">
        <v>153</v>
      </c>
      <c r="B12" s="270">
        <f t="shared" ref="B12:J12" si="0">SUM(B8:B11)</f>
        <v>6.8446621768707487</v>
      </c>
      <c r="C12" s="375">
        <f t="shared" si="0"/>
        <v>1</v>
      </c>
      <c r="D12" s="270">
        <f t="shared" si="0"/>
        <v>3.9403115255102046</v>
      </c>
      <c r="E12" s="375">
        <f t="shared" si="0"/>
        <v>1</v>
      </c>
      <c r="F12" s="270">
        <f t="shared" si="0"/>
        <v>3.4212014787755107</v>
      </c>
      <c r="G12" s="375">
        <f t="shared" si="0"/>
        <v>1</v>
      </c>
      <c r="H12" s="270">
        <f t="shared" si="0"/>
        <v>4.7964473598054429</v>
      </c>
      <c r="I12" s="375">
        <f t="shared" si="0"/>
        <v>0.99999999999999989</v>
      </c>
      <c r="J12" s="270">
        <f t="shared" si="0"/>
        <v>19.002622540961909</v>
      </c>
      <c r="K12" s="49"/>
      <c r="L12" s="235"/>
      <c r="M12" s="235"/>
      <c r="N12" s="131"/>
      <c r="O12" s="235"/>
      <c r="P12" s="131"/>
      <c r="Q12" s="235"/>
      <c r="R12" s="235"/>
      <c r="S12" s="235"/>
    </row>
    <row r="13" spans="1:19" x14ac:dyDescent="0.25">
      <c r="F13" s="41"/>
      <c r="J13" s="8"/>
      <c r="K13" s="8"/>
      <c r="L13" s="8"/>
      <c r="M13" s="8"/>
      <c r="N13" s="8"/>
      <c r="O13" s="8"/>
      <c r="P13" s="149"/>
      <c r="Q13" s="8"/>
      <c r="R13" s="8"/>
      <c r="S13" s="8"/>
    </row>
    <row r="14" spans="1:19" s="259" customFormat="1" x14ac:dyDescent="0.25">
      <c r="A14" s="257"/>
      <c r="B14" s="258"/>
      <c r="D14" s="258"/>
      <c r="F14" s="260"/>
      <c r="H14" s="258"/>
      <c r="J14" s="261"/>
      <c r="K14" s="262"/>
      <c r="L14" s="233"/>
      <c r="M14" s="261"/>
      <c r="N14" s="233"/>
      <c r="O14" s="261"/>
      <c r="P14" s="234"/>
      <c r="Q14" s="261"/>
      <c r="R14" s="233"/>
      <c r="S14" s="261"/>
    </row>
    <row r="15" spans="1:19" s="259" customFormat="1" x14ac:dyDescent="0.25">
      <c r="F15" s="260"/>
      <c r="J15" s="261"/>
      <c r="K15" s="261"/>
      <c r="L15" s="261"/>
      <c r="M15" s="261"/>
      <c r="N15" s="261"/>
      <c r="O15" s="261"/>
      <c r="P15" s="234"/>
      <c r="Q15" s="261"/>
      <c r="R15" s="261"/>
      <c r="S15" s="261"/>
    </row>
    <row r="16" spans="1:19" s="257" customFormat="1" x14ac:dyDescent="0.25">
      <c r="B16" s="263"/>
      <c r="D16" s="263"/>
      <c r="F16" s="264"/>
      <c r="H16" s="263"/>
      <c r="J16" s="262"/>
      <c r="K16" s="262"/>
      <c r="L16" s="265"/>
      <c r="M16" s="262"/>
      <c r="N16" s="265"/>
      <c r="O16" s="262"/>
      <c r="P16" s="266"/>
      <c r="Q16" s="262"/>
      <c r="R16" s="265"/>
      <c r="S16" s="262"/>
    </row>
    <row r="17" spans="10:19" x14ac:dyDescent="0.25">
      <c r="J17" s="8"/>
      <c r="K17" s="8"/>
      <c r="L17" s="8"/>
      <c r="M17" s="8"/>
      <c r="N17" s="8"/>
      <c r="O17" s="8"/>
      <c r="P17" s="8"/>
      <c r="Q17" s="8"/>
      <c r="R17" s="8"/>
      <c r="S17" s="8"/>
    </row>
    <row r="37" spans="1:11" x14ac:dyDescent="0.25">
      <c r="A37" s="1" t="s">
        <v>247</v>
      </c>
    </row>
    <row r="38" spans="1:11" ht="27" x14ac:dyDescent="0.25">
      <c r="A38" s="269" t="s">
        <v>1</v>
      </c>
      <c r="B38" s="230" t="s">
        <v>248</v>
      </c>
      <c r="C38" s="230" t="s">
        <v>152</v>
      </c>
      <c r="D38" s="230" t="s">
        <v>248</v>
      </c>
      <c r="E38" s="230" t="s">
        <v>152</v>
      </c>
      <c r="F38" s="230" t="s">
        <v>248</v>
      </c>
      <c r="G38" s="230" t="s">
        <v>152</v>
      </c>
      <c r="H38" s="230" t="s">
        <v>248</v>
      </c>
      <c r="I38" s="230" t="s">
        <v>152</v>
      </c>
      <c r="K38" s="376" t="s">
        <v>317</v>
      </c>
    </row>
    <row r="39" spans="1:11" x14ac:dyDescent="0.25">
      <c r="A39" s="9"/>
      <c r="B39" s="378" t="s">
        <v>147</v>
      </c>
      <c r="C39" s="378" t="s">
        <v>147</v>
      </c>
      <c r="D39" s="379" t="s">
        <v>148</v>
      </c>
      <c r="E39" s="379" t="s">
        <v>148</v>
      </c>
      <c r="F39" s="351" t="s">
        <v>149</v>
      </c>
      <c r="G39" s="351" t="s">
        <v>149</v>
      </c>
      <c r="H39" s="377" t="s">
        <v>150</v>
      </c>
      <c r="I39" s="377" t="s">
        <v>150</v>
      </c>
    </row>
    <row r="40" spans="1:11" x14ac:dyDescent="0.25">
      <c r="A40" s="10" t="s">
        <v>249</v>
      </c>
      <c r="B40" s="310">
        <v>306</v>
      </c>
      <c r="C40" s="311"/>
      <c r="D40" s="312">
        <f>B40*1.1</f>
        <v>336.6</v>
      </c>
      <c r="E40" s="311"/>
      <c r="F40" s="312">
        <f>D40*1.1</f>
        <v>370.26000000000005</v>
      </c>
      <c r="G40" s="311"/>
      <c r="H40" s="312">
        <f>F40*1.1</f>
        <v>407.28600000000006</v>
      </c>
      <c r="I40" s="230"/>
    </row>
    <row r="41" spans="1:11" x14ac:dyDescent="0.25">
      <c r="A41" s="10" t="s">
        <v>151</v>
      </c>
      <c r="B41" s="43">
        <f>B8</f>
        <v>5.1073133333333338</v>
      </c>
      <c r="C41" s="81">
        <f t="shared" ref="C41:I41" si="1">C8</f>
        <v>0.74617463964719755</v>
      </c>
      <c r="D41" s="81">
        <f t="shared" si="1"/>
        <v>3.0880713333333336</v>
      </c>
      <c r="E41" s="81">
        <f t="shared" si="1"/>
        <v>0.7837124839852555</v>
      </c>
      <c r="F41" s="81">
        <f t="shared" si="1"/>
        <v>2.5221141466666674</v>
      </c>
      <c r="G41" s="81">
        <f t="shared" si="1"/>
        <v>0.73720129092466147</v>
      </c>
      <c r="H41" s="81">
        <f t="shared" si="1"/>
        <v>2.6141749264000005</v>
      </c>
      <c r="I41" s="81">
        <f t="shared" si="1"/>
        <v>0.5450231661681445</v>
      </c>
    </row>
    <row r="42" spans="1:11" x14ac:dyDescent="0.25">
      <c r="A42" s="10"/>
      <c r="B42" s="9"/>
      <c r="C42" s="9"/>
      <c r="D42" s="9"/>
      <c r="E42" s="9"/>
      <c r="F42" s="43"/>
      <c r="G42" s="9"/>
      <c r="H42" s="9"/>
      <c r="I42" s="9"/>
    </row>
    <row r="43" spans="1:11" x14ac:dyDescent="0.25">
      <c r="A43" s="10" t="s">
        <v>3</v>
      </c>
      <c r="B43" s="81">
        <f>B10</f>
        <v>1.03</v>
      </c>
      <c r="C43" s="81">
        <f t="shared" ref="C43:I43" si="2">C10</f>
        <v>0.15048222591328775</v>
      </c>
      <c r="D43" s="81">
        <f t="shared" si="2"/>
        <v>0.1133</v>
      </c>
      <c r="E43" s="81">
        <f t="shared" si="2"/>
        <v>2.8754071668312963E-2</v>
      </c>
      <c r="F43" s="81">
        <f t="shared" si="2"/>
        <v>0.12463000000000002</v>
      </c>
      <c r="G43" s="81">
        <f t="shared" si="2"/>
        <v>3.6428722708434759E-2</v>
      </c>
      <c r="H43" s="81">
        <f t="shared" si="2"/>
        <v>1.3709300000000004</v>
      </c>
      <c r="I43" s="81">
        <f t="shared" si="2"/>
        <v>0.2858219630404969</v>
      </c>
    </row>
    <row r="44" spans="1:11" x14ac:dyDescent="0.25">
      <c r="A44" s="10" t="s">
        <v>314</v>
      </c>
      <c r="B44" s="81">
        <f>B11</f>
        <v>0.70734884353741501</v>
      </c>
      <c r="C44" s="81">
        <f t="shared" ref="C44:I44" si="3">C11</f>
        <v>0.10334313443951468</v>
      </c>
      <c r="D44" s="81">
        <f t="shared" si="3"/>
        <v>0.73894019217687079</v>
      </c>
      <c r="E44" s="81">
        <f t="shared" si="3"/>
        <v>0.18753344434643157</v>
      </c>
      <c r="F44" s="81">
        <f t="shared" si="3"/>
        <v>0.77445733210884349</v>
      </c>
      <c r="G44" s="81">
        <f t="shared" si="3"/>
        <v>0.22636998636690381</v>
      </c>
      <c r="H44" s="81">
        <f t="shared" si="3"/>
        <v>0.81134243340544221</v>
      </c>
      <c r="I44" s="81">
        <f t="shared" si="3"/>
        <v>0.16915487079135846</v>
      </c>
    </row>
    <row r="45" spans="1:11" x14ac:dyDescent="0.25">
      <c r="A45" s="112" t="s">
        <v>250</v>
      </c>
      <c r="B45" s="270">
        <f>SUM(B41:B44)</f>
        <v>6.8446621768707487</v>
      </c>
      <c r="C45" s="313"/>
      <c r="D45" s="313">
        <f>SUM(D40:D43)</f>
        <v>339.80137133333335</v>
      </c>
      <c r="E45" s="313"/>
      <c r="F45" s="313">
        <f>SUM(F40:F43)</f>
        <v>372.90674414666677</v>
      </c>
      <c r="G45" s="313"/>
      <c r="H45" s="313">
        <f>SUM(H40:H43)</f>
        <v>411.27110492640003</v>
      </c>
      <c r="I45" s="112"/>
    </row>
    <row r="48" spans="1:11" x14ac:dyDescent="0.25">
      <c r="A48" s="49" t="s">
        <v>325</v>
      </c>
      <c r="B48" s="8"/>
      <c r="C48" s="8"/>
      <c r="D48" s="8"/>
      <c r="E48" s="8"/>
      <c r="F48" s="8"/>
      <c r="G48" s="8"/>
      <c r="H48" s="8"/>
    </row>
    <row r="49" spans="1:9" x14ac:dyDescent="0.25">
      <c r="A49" s="75"/>
      <c r="B49" s="378" t="s">
        <v>147</v>
      </c>
      <c r="C49" s="379" t="s">
        <v>148</v>
      </c>
      <c r="D49" s="351" t="s">
        <v>149</v>
      </c>
      <c r="E49" s="377" t="s">
        <v>150</v>
      </c>
      <c r="F49" s="352"/>
      <c r="G49" s="352"/>
      <c r="H49" s="352"/>
      <c r="I49" s="352"/>
    </row>
    <row r="50" spans="1:9" x14ac:dyDescent="0.25">
      <c r="A50" s="59" t="s">
        <v>326</v>
      </c>
      <c r="B50" s="390">
        <f>Model_Yr1!$B$110</f>
        <v>0.16421847725345021</v>
      </c>
      <c r="C50" s="390">
        <f>Model_Yr2!$B$110</f>
        <v>5.1533996407481297E-2</v>
      </c>
      <c r="D50" s="390">
        <f>'Model_Yr 3'!$B$110</f>
        <v>6.5288759339583072E-2</v>
      </c>
      <c r="E50" s="390">
        <f>'Model_Yr 4'!$B$110</f>
        <v>0.30846572244254011</v>
      </c>
      <c r="F50" s="353"/>
      <c r="G50" s="353"/>
      <c r="H50" s="353"/>
      <c r="I50" s="353"/>
    </row>
    <row r="51" spans="1:9" x14ac:dyDescent="0.25">
      <c r="A51" s="59" t="s">
        <v>109</v>
      </c>
      <c r="B51" s="391">
        <f>Model_Yr1!$B$112</f>
        <v>0.29312987962793469</v>
      </c>
      <c r="C51" s="391">
        <f>Model_Yr2!$B$112</f>
        <v>0.321032675160426</v>
      </c>
      <c r="D51" s="391">
        <f>'Model_Yr 3'!$B$112</f>
        <v>0.31342151555592718</v>
      </c>
      <c r="E51" s="391">
        <f>'Model_Yr 4'!$B$112</f>
        <v>0.23026344588503919</v>
      </c>
      <c r="F51" s="60"/>
      <c r="G51" s="279"/>
      <c r="H51" s="8"/>
      <c r="I51" s="8"/>
    </row>
    <row r="52" spans="1:9" x14ac:dyDescent="0.25">
      <c r="A52" s="59" t="s">
        <v>41</v>
      </c>
      <c r="B52" s="391">
        <f>Model_Yr1!$B$114</f>
        <v>0.459618570244131</v>
      </c>
      <c r="C52" s="391">
        <f>Model_Yr2!$B$114</f>
        <v>0.52251353617959151</v>
      </c>
      <c r="D52" s="391">
        <f>'Model_Yr 3'!$B$114</f>
        <v>0.52467697992791262</v>
      </c>
      <c r="E52" s="391">
        <f>'Model_Yr 4'!$B$114</f>
        <v>0.38546788710553143</v>
      </c>
      <c r="F52" s="99"/>
      <c r="G52" s="59"/>
      <c r="H52" s="8"/>
    </row>
    <row r="53" spans="1:9" x14ac:dyDescent="0.25">
      <c r="A53" s="59" t="s">
        <v>15</v>
      </c>
      <c r="B53" s="391">
        <f>Model_Yr1!$B$116</f>
        <v>8.303307287448404E-2</v>
      </c>
      <c r="C53" s="391">
        <f>Model_Yr2!$B$116</f>
        <v>0.10491979225250121</v>
      </c>
      <c r="D53" s="391">
        <f>'Model_Yr 3'!$B$116</f>
        <v>9.6612745176576989E-2</v>
      </c>
      <c r="E53" s="391">
        <f>'Model_Yr 4'!$B$116</f>
        <v>7.5802944566889074E-2</v>
      </c>
      <c r="F53" s="367"/>
      <c r="G53" s="279"/>
      <c r="H53" s="8"/>
    </row>
    <row r="54" spans="1:9" x14ac:dyDescent="0.25">
      <c r="A54" s="75"/>
      <c r="B54" s="391">
        <f>SUM(B50:B53)</f>
        <v>0.99999999999999989</v>
      </c>
      <c r="C54" s="391">
        <f t="shared" ref="C54:E54" si="4">SUM(C50:C53)</f>
        <v>1</v>
      </c>
      <c r="D54" s="391">
        <f t="shared" si="4"/>
        <v>0.99999999999999989</v>
      </c>
      <c r="E54" s="391">
        <f t="shared" si="4"/>
        <v>0.99999999999999978</v>
      </c>
      <c r="F54" s="99"/>
      <c r="G54" s="59"/>
      <c r="H54" s="49"/>
    </row>
    <row r="55" spans="1:9" x14ac:dyDescent="0.25">
      <c r="A55" s="368"/>
      <c r="B55" s="369"/>
      <c r="C55" s="8"/>
      <c r="D55" s="369"/>
      <c r="E55" s="8"/>
      <c r="F55" s="369"/>
      <c r="G55" s="8"/>
      <c r="H55" s="131"/>
    </row>
    <row r="56" spans="1:9" x14ac:dyDescent="0.25">
      <c r="A56" s="370"/>
      <c r="B56" s="371"/>
      <c r="C56" s="49"/>
      <c r="D56" s="371"/>
      <c r="E56" s="49"/>
      <c r="F56" s="371"/>
      <c r="G56" s="49"/>
      <c r="H56" s="131"/>
    </row>
    <row r="57" spans="1:9" x14ac:dyDescent="0.25">
      <c r="A57" s="8"/>
      <c r="B57" s="8"/>
      <c r="C57" s="8"/>
      <c r="D57" s="8"/>
      <c r="E57" s="8"/>
      <c r="F57" s="8"/>
      <c r="G57" s="8"/>
      <c r="H57" s="8"/>
    </row>
    <row r="59" spans="1:9" x14ac:dyDescent="0.25">
      <c r="A59" s="75"/>
      <c r="B59" s="378" t="s">
        <v>147</v>
      </c>
      <c r="C59" s="379" t="s">
        <v>148</v>
      </c>
      <c r="D59" s="351" t="s">
        <v>149</v>
      </c>
      <c r="E59" s="377" t="s">
        <v>150</v>
      </c>
    </row>
    <row r="60" spans="1:9" x14ac:dyDescent="0.25">
      <c r="A60" s="59" t="s">
        <v>15</v>
      </c>
      <c r="B60" s="392">
        <f>Model_Yr1!$B$116</f>
        <v>8.303307287448404E-2</v>
      </c>
      <c r="C60" s="393">
        <f>Model_Yr2!$B$116</f>
        <v>0.10491979225250121</v>
      </c>
      <c r="D60" s="393">
        <f>'Model_Yr 3'!$B$116</f>
        <v>9.6612745176576989E-2</v>
      </c>
      <c r="E60" s="393">
        <f>'Model_Yr 4'!$B$116</f>
        <v>7.5802944566889074E-2</v>
      </c>
    </row>
    <row r="61" spans="1:9" x14ac:dyDescent="0.25">
      <c r="A61" s="59" t="s">
        <v>326</v>
      </c>
      <c r="B61" s="394">
        <f>Model_Yr1!$B$110</f>
        <v>0.16421847725345021</v>
      </c>
      <c r="C61" s="394">
        <f>Model_Yr2!$B$110</f>
        <v>5.1533996407481297E-2</v>
      </c>
      <c r="D61" s="394">
        <f>'Model_Yr 3'!$B$110</f>
        <v>6.5288759339583072E-2</v>
      </c>
      <c r="E61" s="394">
        <f>'Model_Yr 4'!$B$110</f>
        <v>0.30846572244254011</v>
      </c>
    </row>
    <row r="62" spans="1:9" x14ac:dyDescent="0.25">
      <c r="A62" s="59" t="s">
        <v>109</v>
      </c>
      <c r="B62" s="394">
        <f>Model_Yr1!$B$112</f>
        <v>0.29312987962793469</v>
      </c>
      <c r="C62" s="394">
        <f>Model_Yr2!$B$112</f>
        <v>0.321032675160426</v>
      </c>
      <c r="D62" s="394">
        <f>'Model_Yr 3'!$B$112</f>
        <v>0.31342151555592718</v>
      </c>
      <c r="E62" s="394">
        <f>'Model_Yr 4'!$B$112</f>
        <v>0.23026344588503919</v>
      </c>
    </row>
    <row r="63" spans="1:9" x14ac:dyDescent="0.25">
      <c r="A63" s="59" t="s">
        <v>41</v>
      </c>
      <c r="B63" s="394">
        <f>Model_Yr1!$B$114</f>
        <v>0.459618570244131</v>
      </c>
      <c r="C63" s="394">
        <f>Model_Yr2!$B$114</f>
        <v>0.52251353617959151</v>
      </c>
      <c r="D63" s="394">
        <f>'Model_Yr 3'!$B$114</f>
        <v>0.52467697992791262</v>
      </c>
      <c r="E63" s="394">
        <f>'Model_Yr 4'!$B$114</f>
        <v>0.38546788710553143</v>
      </c>
    </row>
    <row r="64" spans="1:9" x14ac:dyDescent="0.25">
      <c r="D64" s="389"/>
      <c r="E64" s="389"/>
    </row>
    <row r="71" spans="1:5" x14ac:dyDescent="0.25">
      <c r="A71" s="1"/>
    </row>
    <row r="73" spans="1:5" s="1" customFormat="1" x14ac:dyDescent="0.25">
      <c r="B73" s="306"/>
      <c r="C73" s="307"/>
      <c r="D73" s="307"/>
      <c r="E73" s="307"/>
    </row>
    <row r="74" spans="1:5" s="305" customFormat="1" x14ac:dyDescent="0.25">
      <c r="A74" s="308"/>
      <c r="B74" s="308"/>
      <c r="C74" s="308"/>
      <c r="D74" s="308"/>
      <c r="E74" s="308"/>
    </row>
    <row r="75" spans="1:5" s="303" customFormat="1" x14ac:dyDescent="0.25">
      <c r="A75" s="309"/>
      <c r="B75" s="309"/>
      <c r="C75" s="309"/>
      <c r="D75" s="309"/>
      <c r="E75" s="309"/>
    </row>
    <row r="76" spans="1:5" s="305" customFormat="1" x14ac:dyDescent="0.25">
      <c r="A76" s="308"/>
      <c r="B76" s="308"/>
      <c r="C76" s="308"/>
      <c r="D76" s="308"/>
      <c r="E76" s="308"/>
    </row>
    <row r="77" spans="1:5" s="303" customFormat="1" x14ac:dyDescent="0.25">
      <c r="A77" s="309"/>
      <c r="B77" s="309"/>
      <c r="C77" s="309"/>
      <c r="D77" s="309"/>
      <c r="E77" s="309"/>
    </row>
    <row r="78" spans="1:5" s="305" customFormat="1" x14ac:dyDescent="0.25">
      <c r="A78" s="308"/>
      <c r="B78" s="308"/>
      <c r="C78" s="308"/>
      <c r="D78" s="308"/>
      <c r="E78" s="308"/>
    </row>
    <row r="79" spans="1:5" s="303" customFormat="1" x14ac:dyDescent="0.25">
      <c r="A79" s="309"/>
      <c r="B79" s="309"/>
      <c r="C79" s="309"/>
      <c r="D79" s="309"/>
      <c r="E79" s="309"/>
    </row>
    <row r="80" spans="1:5" s="305" customFormat="1" x14ac:dyDescent="0.25">
      <c r="A80" s="308"/>
      <c r="B80" s="308"/>
      <c r="C80" s="308"/>
      <c r="D80" s="308"/>
      <c r="E80" s="308"/>
    </row>
    <row r="81" spans="1:5" s="303" customFormat="1" x14ac:dyDescent="0.25">
      <c r="A81" s="309"/>
      <c r="B81" s="309"/>
      <c r="C81" s="309"/>
      <c r="D81" s="309"/>
      <c r="E81" s="309"/>
    </row>
    <row r="82" spans="1:5" x14ac:dyDescent="0.25">
      <c r="B82" s="304"/>
      <c r="C82" s="304"/>
      <c r="D82" s="304"/>
      <c r="E82" s="304"/>
    </row>
    <row r="83" spans="1:5" x14ac:dyDescent="0.25">
      <c r="A83" t="s">
        <v>318</v>
      </c>
      <c r="B83" t="s">
        <v>319</v>
      </c>
    </row>
    <row r="84" spans="1:5" x14ac:dyDescent="0.25">
      <c r="A84" t="str" cm="1">
        <f t="array" ref="A84:B97">Model_Yr1!A108:B121</f>
        <v>Total Year 1</v>
      </c>
      <c r="B84" s="173">
        <v>8213594.6122448985</v>
      </c>
    </row>
    <row r="85" spans="1:5" x14ac:dyDescent="0.25">
      <c r="A85" t="str">
        <v>Materials</v>
      </c>
      <c r="B85" s="173">
        <v>1348824</v>
      </c>
    </row>
    <row r="86" spans="1:5" x14ac:dyDescent="0.25">
      <c r="A86" t="str">
        <v xml:space="preserve">Materials % of total program cost </v>
      </c>
      <c r="B86" s="303">
        <v>0.16421847725345021</v>
      </c>
    </row>
    <row r="87" spans="1:5" x14ac:dyDescent="0.25">
      <c r="A87" t="str">
        <v>Meals/Per Diem</v>
      </c>
      <c r="B87" s="173">
        <v>2407650</v>
      </c>
    </row>
    <row r="88" spans="1:5" x14ac:dyDescent="0.25">
      <c r="A88" t="str">
        <v xml:space="preserve">Meals/Per Diem % of total program cost </v>
      </c>
      <c r="B88" s="303">
        <v>0.29312987962793469</v>
      </c>
    </row>
    <row r="89" spans="1:5" x14ac:dyDescent="0.25">
      <c r="A89" t="str">
        <v>Transportation</v>
      </c>
      <c r="B89" s="173">
        <v>3775120.612244898</v>
      </c>
    </row>
    <row r="90" spans="1:5" x14ac:dyDescent="0.25">
      <c r="A90" t="str">
        <v xml:space="preserve">Transportation % of total program cost </v>
      </c>
      <c r="B90" s="303">
        <v>0.459618570244131</v>
      </c>
    </row>
    <row r="91" spans="1:5" x14ac:dyDescent="0.25">
      <c r="A91" t="str">
        <v>Facilities</v>
      </c>
      <c r="B91" s="173">
        <v>682000.00000000012</v>
      </c>
    </row>
    <row r="92" spans="1:5" x14ac:dyDescent="0.25">
      <c r="A92" t="str">
        <v xml:space="preserve">Facilities % of total program cost </v>
      </c>
      <c r="B92" s="303">
        <v>8.303307287448404E-2</v>
      </c>
    </row>
    <row r="93" spans="1:5" x14ac:dyDescent="0.25">
      <c r="A93">
        <v>0</v>
      </c>
      <c r="B93" s="173">
        <v>0</v>
      </c>
      <c r="C93" s="205">
        <f>SUM(B85+B87+B89+B91)</f>
        <v>8213594.6122448985</v>
      </c>
    </row>
    <row r="94" spans="1:5" x14ac:dyDescent="0.25">
      <c r="A94">
        <v>0</v>
      </c>
      <c r="B94" s="303">
        <v>0</v>
      </c>
    </row>
    <row r="95" spans="1:5" x14ac:dyDescent="0.25">
      <c r="A95">
        <v>0</v>
      </c>
      <c r="B95">
        <v>0</v>
      </c>
    </row>
    <row r="96" spans="1:5" x14ac:dyDescent="0.25">
      <c r="A96">
        <v>0</v>
      </c>
      <c r="B96">
        <v>0</v>
      </c>
    </row>
    <row r="97" spans="1:5" x14ac:dyDescent="0.25">
      <c r="A97">
        <v>0</v>
      </c>
      <c r="B97">
        <v>0</v>
      </c>
      <c r="E97" s="485"/>
    </row>
  </sheetData>
  <sortState xmlns:xlrd2="http://schemas.microsoft.com/office/spreadsheetml/2017/richdata2" ref="A60:E63">
    <sortCondition ref="B60:B63"/>
  </sortState>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65D41-82C3-4BC6-A282-BBDCDA2D1F3B}">
  <sheetPr>
    <tabColor rgb="FFBC3783"/>
  </sheetPr>
  <dimension ref="A1:Z161"/>
  <sheetViews>
    <sheetView topLeftCell="A26" zoomScale="90" zoomScaleNormal="90" workbookViewId="0">
      <selection activeCell="J48" sqref="J48"/>
    </sheetView>
  </sheetViews>
  <sheetFormatPr defaultRowHeight="15" x14ac:dyDescent="0.25"/>
  <cols>
    <col min="1" max="1" width="44.42578125" customWidth="1"/>
    <col min="2" max="2" width="15.28515625" customWidth="1"/>
    <col min="3" max="3" width="13.140625" customWidth="1"/>
    <col min="4" max="4" width="14.140625" customWidth="1"/>
    <col min="5" max="5" width="15.5703125" customWidth="1"/>
    <col min="6" max="7" width="15.140625" customWidth="1"/>
    <col min="8" max="8" width="13.42578125" style="1" customWidth="1"/>
    <col min="9" max="9" width="15.140625" customWidth="1"/>
    <col min="10" max="10" width="16.28515625" customWidth="1"/>
    <col min="11" max="11" width="16" customWidth="1"/>
    <col min="12" max="12" width="17.5703125" customWidth="1"/>
    <col min="13" max="13" width="14.28515625" style="7" customWidth="1"/>
    <col min="14" max="14" width="27.5703125" customWidth="1"/>
    <col min="15" max="15" width="18.140625" customWidth="1"/>
    <col min="16" max="16" width="12" customWidth="1"/>
    <col min="17" max="17" width="15.42578125" customWidth="1"/>
    <col min="20" max="20" width="11.7109375" customWidth="1"/>
    <col min="23" max="23" width="22.42578125" customWidth="1"/>
    <col min="24" max="25" width="9.140625" customWidth="1"/>
  </cols>
  <sheetData>
    <row r="1" spans="1:26" ht="72.75" customHeight="1" x14ac:dyDescent="0.25">
      <c r="A1" s="340" t="s">
        <v>216</v>
      </c>
      <c r="B1" s="340" t="s">
        <v>43</v>
      </c>
      <c r="C1" s="341" t="s">
        <v>111</v>
      </c>
      <c r="D1" s="342" t="s">
        <v>131</v>
      </c>
      <c r="E1" s="446" t="s">
        <v>302</v>
      </c>
      <c r="F1" s="447"/>
      <c r="G1" s="447"/>
      <c r="H1" s="447"/>
      <c r="I1" s="441"/>
      <c r="J1" s="441"/>
      <c r="K1" s="441"/>
      <c r="L1" s="441"/>
      <c r="M1" s="441"/>
      <c r="N1" s="329" t="s">
        <v>216</v>
      </c>
      <c r="O1" s="329" t="s">
        <v>43</v>
      </c>
      <c r="P1" s="330" t="s">
        <v>111</v>
      </c>
      <c r="Q1" s="167" t="s">
        <v>131</v>
      </c>
      <c r="R1" s="439" t="s">
        <v>261</v>
      </c>
      <c r="S1" s="440"/>
      <c r="T1" s="440"/>
      <c r="U1" s="440"/>
      <c r="V1" s="441"/>
      <c r="W1" s="441"/>
      <c r="X1" s="441"/>
      <c r="Y1" s="441"/>
      <c r="Z1" s="441"/>
    </row>
    <row r="2" spans="1:26" x14ac:dyDescent="0.25">
      <c r="C2" s="1"/>
      <c r="D2" s="253"/>
      <c r="E2" s="442" t="s">
        <v>220</v>
      </c>
      <c r="F2" s="443"/>
      <c r="G2" s="444"/>
      <c r="H2" s="445" t="s">
        <v>221</v>
      </c>
      <c r="I2" s="445"/>
      <c r="J2" s="445"/>
      <c r="K2" s="445"/>
      <c r="L2" s="8"/>
      <c r="P2" s="1"/>
      <c r="Q2" s="253"/>
      <c r="R2" s="442" t="s">
        <v>265</v>
      </c>
      <c r="S2" s="443"/>
      <c r="T2" s="444"/>
      <c r="U2" s="445" t="s">
        <v>264</v>
      </c>
      <c r="V2" s="445"/>
      <c r="W2" s="445"/>
      <c r="X2" s="445"/>
      <c r="Y2" s="8"/>
      <c r="Z2" s="7"/>
    </row>
    <row r="3" spans="1:26" x14ac:dyDescent="0.25">
      <c r="A3" s="75" t="s">
        <v>46</v>
      </c>
      <c r="B3" s="78">
        <f>B25+B64+B90</f>
        <v>6128776</v>
      </c>
      <c r="C3" s="207">
        <f>B3/B8</f>
        <v>0.74617463964719755</v>
      </c>
      <c r="D3" s="227">
        <f>G28+G66+G92</f>
        <v>5.1073133333333338</v>
      </c>
      <c r="E3" s="434" t="s">
        <v>222</v>
      </c>
      <c r="F3" s="435"/>
      <c r="G3" s="9">
        <v>3</v>
      </c>
      <c r="H3" s="434" t="s">
        <v>223</v>
      </c>
      <c r="I3" s="436"/>
      <c r="J3" s="435"/>
      <c r="K3" s="278" t="s">
        <v>224</v>
      </c>
      <c r="L3" s="8"/>
      <c r="N3" s="75" t="s">
        <v>151</v>
      </c>
      <c r="O3" s="78">
        <f>O25+O52</f>
        <v>264288</v>
      </c>
      <c r="P3" s="207">
        <f>O3/O8</f>
        <v>0.31135980784048667</v>
      </c>
      <c r="Q3" s="227">
        <f>T28+T54</f>
        <v>0.22024000000000002</v>
      </c>
      <c r="R3" s="434" t="s">
        <v>262</v>
      </c>
      <c r="S3" s="435"/>
      <c r="T3" s="9">
        <v>2</v>
      </c>
      <c r="U3" s="434" t="s">
        <v>301</v>
      </c>
      <c r="V3" s="436"/>
      <c r="W3" s="435"/>
      <c r="X3" s="331">
        <v>9</v>
      </c>
      <c r="Y3" s="8"/>
      <c r="Z3" s="7"/>
    </row>
    <row r="4" spans="1:26" x14ac:dyDescent="0.25">
      <c r="A4" s="75"/>
      <c r="B4" s="75"/>
      <c r="C4" s="79"/>
      <c r="D4" s="227"/>
      <c r="E4" s="434" t="s">
        <v>231</v>
      </c>
      <c r="F4" s="435"/>
      <c r="G4" s="9">
        <v>4</v>
      </c>
      <c r="H4" s="434" t="s">
        <v>227</v>
      </c>
      <c r="I4" s="436"/>
      <c r="J4" s="435"/>
      <c r="K4" s="61" t="s">
        <v>224</v>
      </c>
      <c r="L4" s="8"/>
      <c r="N4" s="75"/>
      <c r="O4" s="75"/>
      <c r="P4" s="79"/>
      <c r="Q4" s="227"/>
      <c r="R4" s="434" t="s">
        <v>263</v>
      </c>
      <c r="S4" s="435"/>
      <c r="T4" s="9">
        <v>3</v>
      </c>
      <c r="U4" s="434"/>
      <c r="V4" s="436"/>
      <c r="W4" s="435"/>
      <c r="X4" s="61"/>
      <c r="Y4" s="8"/>
      <c r="Z4" s="7"/>
    </row>
    <row r="5" spans="1:26" x14ac:dyDescent="0.25">
      <c r="A5" s="75"/>
      <c r="B5" s="75"/>
      <c r="C5" s="75"/>
      <c r="D5" s="99"/>
      <c r="E5" s="63" t="s">
        <v>232</v>
      </c>
      <c r="F5" s="63"/>
      <c r="G5" s="90">
        <v>3</v>
      </c>
      <c r="H5" t="s">
        <v>228</v>
      </c>
      <c r="J5" s="280"/>
      <c r="K5" s="281"/>
      <c r="L5" s="8"/>
      <c r="N5" s="75"/>
      <c r="O5" s="75"/>
      <c r="P5" s="75"/>
      <c r="Q5" s="99"/>
      <c r="R5" s="63"/>
      <c r="S5" s="63"/>
      <c r="T5" s="90"/>
      <c r="W5" s="280"/>
      <c r="X5" s="281"/>
      <c r="Y5" s="8"/>
      <c r="Z5" s="7"/>
    </row>
    <row r="6" spans="1:26" x14ac:dyDescent="0.25">
      <c r="A6" s="75" t="s">
        <v>186</v>
      </c>
      <c r="B6" s="78">
        <f>B102</f>
        <v>1236000</v>
      </c>
      <c r="C6" s="207">
        <f>B6/B8</f>
        <v>0.15048222591328775</v>
      </c>
      <c r="D6" s="227">
        <f>G104</f>
        <v>1.03</v>
      </c>
      <c r="E6" s="63"/>
      <c r="F6" s="63"/>
      <c r="G6" s="279"/>
      <c r="H6" s="437" t="s">
        <v>225</v>
      </c>
      <c r="I6" s="437"/>
      <c r="J6" s="437"/>
      <c r="K6" s="9">
        <v>0.1</v>
      </c>
      <c r="L6" s="8"/>
      <c r="N6" s="75" t="s">
        <v>260</v>
      </c>
      <c r="O6" s="78">
        <f>O65</f>
        <v>584530.61224489799</v>
      </c>
      <c r="P6" s="207">
        <f>O6/O8</f>
        <v>0.68864019215951333</v>
      </c>
      <c r="Q6" s="227">
        <f>T67</f>
        <v>0.48710884353741501</v>
      </c>
      <c r="R6" s="63"/>
      <c r="S6" s="63"/>
      <c r="T6" s="279"/>
      <c r="U6" s="437"/>
      <c r="V6" s="437"/>
      <c r="W6" s="437"/>
      <c r="X6" s="9"/>
      <c r="Y6" s="8"/>
      <c r="Z6" s="7"/>
    </row>
    <row r="7" spans="1:26" x14ac:dyDescent="0.25">
      <c r="A7" s="364" t="s">
        <v>307</v>
      </c>
      <c r="B7" s="365">
        <f>O8</f>
        <v>848818.61224489799</v>
      </c>
      <c r="C7" s="207">
        <f>B7/B8</f>
        <v>0.10334313443951468</v>
      </c>
      <c r="D7" s="366">
        <f>Q8</f>
        <v>0.70734884353741501</v>
      </c>
      <c r="E7" s="63" t="s">
        <v>229</v>
      </c>
      <c r="F7" s="63"/>
      <c r="G7" s="60">
        <v>1</v>
      </c>
      <c r="H7" s="438" t="s">
        <v>226</v>
      </c>
      <c r="I7" s="438"/>
      <c r="J7" s="438"/>
      <c r="K7" s="57" t="s">
        <v>197</v>
      </c>
      <c r="L7" s="8"/>
      <c r="N7" s="254"/>
      <c r="O7" s="255"/>
      <c r="P7" s="79"/>
      <c r="Q7" s="256"/>
      <c r="R7" s="434" t="s">
        <v>229</v>
      </c>
      <c r="S7" s="435"/>
      <c r="T7" s="60">
        <v>1</v>
      </c>
      <c r="U7" s="438"/>
      <c r="V7" s="438"/>
      <c r="W7" s="438"/>
      <c r="X7" s="57"/>
      <c r="Y7" s="8"/>
      <c r="Z7" s="7"/>
    </row>
    <row r="8" spans="1:26" x14ac:dyDescent="0.25">
      <c r="A8" s="75" t="s">
        <v>42</v>
      </c>
      <c r="B8" s="78">
        <f>SUM(B3:B7)</f>
        <v>8213594.6122448985</v>
      </c>
      <c r="C8" s="79"/>
      <c r="D8" s="227">
        <f>SUM(D3:D7)</f>
        <v>6.8446621768707487</v>
      </c>
      <c r="E8" s="63" t="s">
        <v>230</v>
      </c>
      <c r="F8" s="63"/>
      <c r="G8" s="60">
        <v>0.1</v>
      </c>
      <c r="H8" s="8"/>
      <c r="I8" s="49"/>
      <c r="J8" s="8"/>
      <c r="K8" s="8"/>
      <c r="L8" s="8"/>
      <c r="N8" s="75" t="s">
        <v>42</v>
      </c>
      <c r="O8" s="78">
        <f>O3+O6</f>
        <v>848818.61224489799</v>
      </c>
      <c r="P8" s="79"/>
      <c r="Q8" s="227">
        <f>SUM(Q3+Q6)</f>
        <v>0.70734884353741501</v>
      </c>
      <c r="R8" s="434" t="s">
        <v>230</v>
      </c>
      <c r="S8" s="435"/>
      <c r="T8" s="60">
        <v>0.1</v>
      </c>
      <c r="U8" s="8"/>
      <c r="V8" s="49"/>
      <c r="W8" s="8"/>
      <c r="X8" s="8"/>
      <c r="Y8" s="8"/>
      <c r="Z8" s="7"/>
    </row>
    <row r="9" spans="1:26" x14ac:dyDescent="0.25">
      <c r="A9" s="1"/>
      <c r="C9" s="304">
        <f>SUM(C3:C7)</f>
        <v>1</v>
      </c>
      <c r="D9" s="80" t="s">
        <v>1</v>
      </c>
      <c r="E9" s="8"/>
      <c r="F9" s="8"/>
      <c r="G9" s="8"/>
      <c r="H9" s="49"/>
      <c r="I9" s="8"/>
      <c r="J9" s="8"/>
      <c r="K9" s="8"/>
      <c r="L9" s="8"/>
      <c r="N9" s="333"/>
      <c r="O9" s="334"/>
      <c r="P9" s="335"/>
      <c r="Q9" s="336"/>
      <c r="R9" s="337"/>
      <c r="S9" s="337"/>
      <c r="T9" s="338"/>
      <c r="U9" s="339"/>
      <c r="V9" s="333"/>
      <c r="W9" s="339"/>
      <c r="X9" s="339"/>
      <c r="Y9" s="339"/>
      <c r="Z9" s="339"/>
    </row>
    <row r="10" spans="1:26" ht="15.75" x14ac:dyDescent="0.25">
      <c r="A10" s="349" t="s">
        <v>113</v>
      </c>
      <c r="F10" s="10" t="s">
        <v>40</v>
      </c>
      <c r="G10" s="75">
        <f>$G$3</f>
        <v>3</v>
      </c>
      <c r="H10" s="1" t="s">
        <v>1</v>
      </c>
      <c r="N10" s="329" t="s">
        <v>266</v>
      </c>
      <c r="O10" s="10" t="s">
        <v>217</v>
      </c>
      <c r="P10" s="277">
        <f>$G$7</f>
        <v>1</v>
      </c>
      <c r="T10" s="10" t="s">
        <v>40</v>
      </c>
      <c r="U10" s="329">
        <f>T3</f>
        <v>2</v>
      </c>
    </row>
    <row r="11" spans="1:26" ht="66.75" customHeight="1" x14ac:dyDescent="0.25">
      <c r="A11" s="142" t="s">
        <v>208</v>
      </c>
      <c r="B11" s="144" t="s">
        <v>0</v>
      </c>
      <c r="C11" s="143" t="s">
        <v>44</v>
      </c>
      <c r="D11" s="143" t="s">
        <v>25</v>
      </c>
      <c r="E11" s="143" t="s">
        <v>20</v>
      </c>
      <c r="F11" s="143" t="s">
        <v>21</v>
      </c>
      <c r="G11" s="143" t="s">
        <v>105</v>
      </c>
      <c r="H11" s="143" t="s">
        <v>17</v>
      </c>
      <c r="N11" s="142" t="s">
        <v>208</v>
      </c>
      <c r="O11" s="144" t="s">
        <v>0</v>
      </c>
      <c r="P11" s="143" t="s">
        <v>44</v>
      </c>
      <c r="Q11" s="143" t="s">
        <v>25</v>
      </c>
      <c r="R11" s="143" t="s">
        <v>20</v>
      </c>
      <c r="S11" s="143" t="s">
        <v>21</v>
      </c>
      <c r="T11" s="143" t="s">
        <v>105</v>
      </c>
      <c r="U11" s="143" t="s">
        <v>17</v>
      </c>
      <c r="Z11" s="8"/>
    </row>
    <row r="12" spans="1:26" s="8" customFormat="1" x14ac:dyDescent="0.25">
      <c r="A12" s="50" t="s">
        <v>28</v>
      </c>
      <c r="B12" s="9"/>
      <c r="C12" s="119"/>
      <c r="D12" s="58">
        <f>$G$10</f>
        <v>3</v>
      </c>
      <c r="E12" s="58">
        <v>20</v>
      </c>
      <c r="F12" s="65">
        <f>D12*E12</f>
        <v>60</v>
      </c>
      <c r="G12" s="110"/>
      <c r="H12" s="61" t="s">
        <v>18</v>
      </c>
      <c r="M12" s="7"/>
      <c r="N12" s="50" t="s">
        <v>28</v>
      </c>
      <c r="O12" s="9"/>
      <c r="P12" s="119"/>
      <c r="Q12" s="58"/>
      <c r="R12" s="58">
        <v>20</v>
      </c>
      <c r="S12" s="65">
        <f>Q12*R12</f>
        <v>0</v>
      </c>
      <c r="T12" s="110"/>
      <c r="U12" s="61" t="s">
        <v>18</v>
      </c>
    </row>
    <row r="13" spans="1:26" s="8" customFormat="1" x14ac:dyDescent="0.25">
      <c r="A13" s="50" t="s">
        <v>78</v>
      </c>
      <c r="B13" s="9"/>
      <c r="C13" s="185"/>
      <c r="D13" s="58">
        <f>$G$10</f>
        <v>3</v>
      </c>
      <c r="E13" s="58">
        <v>400</v>
      </c>
      <c r="F13" s="65">
        <f>D13*E13</f>
        <v>1200</v>
      </c>
      <c r="G13" s="110"/>
      <c r="H13" s="61" t="s">
        <v>18</v>
      </c>
      <c r="M13" s="7"/>
      <c r="N13" s="50" t="s">
        <v>78</v>
      </c>
      <c r="O13" s="9"/>
      <c r="P13" s="185"/>
      <c r="Q13" s="58"/>
      <c r="R13" s="58">
        <v>100</v>
      </c>
      <c r="S13" s="65">
        <f>Q13*R13</f>
        <v>0</v>
      </c>
      <c r="T13" s="110"/>
      <c r="U13" s="61" t="s">
        <v>18</v>
      </c>
    </row>
    <row r="14" spans="1:26" s="8" customFormat="1" x14ac:dyDescent="0.25">
      <c r="A14" s="50" t="s">
        <v>26</v>
      </c>
      <c r="B14" s="9" t="s">
        <v>3</v>
      </c>
      <c r="C14" s="185">
        <f>'Prices_non-Labor'!$E$12</f>
        <v>1.2</v>
      </c>
      <c r="D14" s="58">
        <v>1</v>
      </c>
      <c r="E14" s="58">
        <f>SUM(E12:E13)*D14</f>
        <v>420</v>
      </c>
      <c r="F14" s="62">
        <f>E14</f>
        <v>420</v>
      </c>
      <c r="G14" s="189">
        <f t="shared" ref="G14:G22" si="0">F14*C14</f>
        <v>504</v>
      </c>
      <c r="H14" s="61" t="s">
        <v>16</v>
      </c>
      <c r="M14" s="7"/>
      <c r="N14" s="50" t="s">
        <v>26</v>
      </c>
      <c r="O14" s="9" t="s">
        <v>3</v>
      </c>
      <c r="P14" s="185">
        <f>'Prices_non-Labor'!$E$12</f>
        <v>1.2</v>
      </c>
      <c r="Q14" s="58">
        <v>1</v>
      </c>
      <c r="R14" s="58">
        <f>SUM(R12:R13)*Q14</f>
        <v>120</v>
      </c>
      <c r="S14" s="62">
        <f>R14</f>
        <v>120</v>
      </c>
      <c r="T14" s="189">
        <f t="shared" ref="T14:T22" si="1">S14*P14</f>
        <v>144</v>
      </c>
      <c r="U14" s="61" t="s">
        <v>16</v>
      </c>
    </row>
    <row r="15" spans="1:26" s="8" customFormat="1" x14ac:dyDescent="0.25">
      <c r="A15" s="50" t="s">
        <v>79</v>
      </c>
      <c r="B15" s="9" t="s">
        <v>3</v>
      </c>
      <c r="C15" s="185">
        <f>'Prices_non-Labor'!$E$13</f>
        <v>1</v>
      </c>
      <c r="D15" s="58">
        <v>0.2</v>
      </c>
      <c r="E15" s="58">
        <v>420</v>
      </c>
      <c r="F15" s="62">
        <f>E15*D15</f>
        <v>84</v>
      </c>
      <c r="G15" s="189">
        <f t="shared" si="0"/>
        <v>84</v>
      </c>
      <c r="H15" s="61" t="s">
        <v>16</v>
      </c>
      <c r="M15" s="7"/>
      <c r="N15" s="50" t="s">
        <v>79</v>
      </c>
      <c r="O15" s="9" t="s">
        <v>3</v>
      </c>
      <c r="P15" s="185">
        <f>'Prices_non-Labor'!$E$13</f>
        <v>1</v>
      </c>
      <c r="Q15" s="58">
        <v>0.2</v>
      </c>
      <c r="R15" s="58">
        <f>SUM(R12:R13)</f>
        <v>120</v>
      </c>
      <c r="S15" s="62">
        <f>R15*Q15</f>
        <v>24</v>
      </c>
      <c r="T15" s="189">
        <f t="shared" si="1"/>
        <v>24</v>
      </c>
      <c r="U15" s="61" t="s">
        <v>16</v>
      </c>
    </row>
    <row r="16" spans="1:26" x14ac:dyDescent="0.25">
      <c r="A16" s="50" t="s">
        <v>29</v>
      </c>
      <c r="B16" s="9" t="s">
        <v>3</v>
      </c>
      <c r="C16" s="185">
        <f>'Prices_non-Labor'!$E$11</f>
        <v>1</v>
      </c>
      <c r="D16" s="61">
        <v>1</v>
      </c>
      <c r="E16" s="57">
        <f>$E$12</f>
        <v>20</v>
      </c>
      <c r="F16" s="9">
        <f t="shared" ref="F16:F22" si="2">SUM(E16*D16)</f>
        <v>20</v>
      </c>
      <c r="G16" s="189">
        <f t="shared" si="0"/>
        <v>20</v>
      </c>
      <c r="H16" s="61" t="s">
        <v>16</v>
      </c>
      <c r="N16" s="50" t="s">
        <v>289</v>
      </c>
      <c r="O16" s="9" t="s">
        <v>3</v>
      </c>
      <c r="P16" s="185">
        <f>'Prices_non-Labor'!$E$11</f>
        <v>1</v>
      </c>
      <c r="Q16" s="61">
        <v>1</v>
      </c>
      <c r="R16" s="57">
        <f>$E$12</f>
        <v>20</v>
      </c>
      <c r="S16" s="9">
        <f t="shared" ref="S16:S21" si="3">SUM(R16*Q16)</f>
        <v>20</v>
      </c>
      <c r="T16" s="189">
        <f t="shared" si="1"/>
        <v>20</v>
      </c>
      <c r="U16" s="61" t="s">
        <v>16</v>
      </c>
      <c r="Z16" s="8"/>
    </row>
    <row r="17" spans="1:26" x14ac:dyDescent="0.25">
      <c r="A17" s="50" t="s">
        <v>83</v>
      </c>
      <c r="B17" s="9" t="s">
        <v>3</v>
      </c>
      <c r="C17" s="185">
        <f>'Prices_non-Labor'!$E$11</f>
        <v>1</v>
      </c>
      <c r="D17" s="61">
        <v>1</v>
      </c>
      <c r="E17" s="57">
        <f>$E$13</f>
        <v>400</v>
      </c>
      <c r="F17" s="9">
        <f t="shared" si="2"/>
        <v>400</v>
      </c>
      <c r="G17" s="189">
        <f t="shared" si="0"/>
        <v>400</v>
      </c>
      <c r="H17" s="61" t="s">
        <v>16</v>
      </c>
      <c r="I17" s="205"/>
      <c r="N17" s="50" t="s">
        <v>290</v>
      </c>
      <c r="O17" s="9" t="s">
        <v>3</v>
      </c>
      <c r="P17" s="185">
        <f>'Prices_non-Labor'!$E$11</f>
        <v>1</v>
      </c>
      <c r="Q17" s="61">
        <v>1</v>
      </c>
      <c r="R17" s="57">
        <f>$E$13</f>
        <v>400</v>
      </c>
      <c r="S17" s="9">
        <f t="shared" si="3"/>
        <v>400</v>
      </c>
      <c r="T17" s="189">
        <f t="shared" si="1"/>
        <v>400</v>
      </c>
      <c r="U17" s="61" t="s">
        <v>16</v>
      </c>
      <c r="V17" s="205"/>
      <c r="Z17" s="8"/>
    </row>
    <row r="18" spans="1:26" x14ac:dyDescent="0.25">
      <c r="A18" s="50" t="s">
        <v>28</v>
      </c>
      <c r="B18" s="9" t="s">
        <v>41</v>
      </c>
      <c r="C18" s="185">
        <f>'Prices_non-Labor'!$E$36</f>
        <v>34</v>
      </c>
      <c r="D18" s="61">
        <v>1</v>
      </c>
      <c r="E18" s="57">
        <f>$E$12</f>
        <v>20</v>
      </c>
      <c r="F18" s="9">
        <f t="shared" si="2"/>
        <v>20</v>
      </c>
      <c r="G18" s="189">
        <f t="shared" si="0"/>
        <v>680</v>
      </c>
      <c r="H18" s="61" t="s">
        <v>16</v>
      </c>
      <c r="N18" s="50" t="s">
        <v>28</v>
      </c>
      <c r="O18" s="9" t="s">
        <v>41</v>
      </c>
      <c r="P18" s="185">
        <f>'Prices_non-Labor'!$E$36</f>
        <v>34</v>
      </c>
      <c r="Q18" s="61">
        <v>1</v>
      </c>
      <c r="R18" s="57">
        <f>$E$12</f>
        <v>20</v>
      </c>
      <c r="S18" s="9">
        <f t="shared" si="3"/>
        <v>20</v>
      </c>
      <c r="T18" s="189">
        <f t="shared" si="1"/>
        <v>680</v>
      </c>
      <c r="U18" s="61" t="s">
        <v>16</v>
      </c>
      <c r="Z18" s="8"/>
    </row>
    <row r="19" spans="1:26" x14ac:dyDescent="0.25">
      <c r="A19" s="50" t="s">
        <v>78</v>
      </c>
      <c r="B19" s="9" t="s">
        <v>41</v>
      </c>
      <c r="C19" s="185">
        <f>'Prices_non-Labor'!$E$36</f>
        <v>34</v>
      </c>
      <c r="D19" s="61">
        <v>1</v>
      </c>
      <c r="E19" s="57">
        <f>$E$13</f>
        <v>400</v>
      </c>
      <c r="F19" s="9">
        <f t="shared" si="2"/>
        <v>400</v>
      </c>
      <c r="G19" s="189">
        <f t="shared" si="0"/>
        <v>13600</v>
      </c>
      <c r="H19" s="61" t="s">
        <v>16</v>
      </c>
      <c r="I19" s="205"/>
      <c r="N19" s="50" t="s">
        <v>78</v>
      </c>
      <c r="O19" s="9" t="s">
        <v>41</v>
      </c>
      <c r="P19" s="185">
        <f>'Prices_non-Labor'!$E$36</f>
        <v>34</v>
      </c>
      <c r="Q19" s="61">
        <v>1</v>
      </c>
      <c r="R19" s="57">
        <f>$E$13</f>
        <v>400</v>
      </c>
      <c r="S19" s="9">
        <f t="shared" si="3"/>
        <v>400</v>
      </c>
      <c r="T19" s="189">
        <f t="shared" si="1"/>
        <v>13600</v>
      </c>
      <c r="U19" s="61" t="s">
        <v>16</v>
      </c>
      <c r="V19" s="205"/>
      <c r="Z19" s="8"/>
    </row>
    <row r="20" spans="1:26" x14ac:dyDescent="0.25">
      <c r="A20" s="50" t="s">
        <v>28</v>
      </c>
      <c r="B20" s="9" t="s">
        <v>109</v>
      </c>
      <c r="C20" s="185">
        <f>'Prices_non-Labor'!$E$35</f>
        <v>24</v>
      </c>
      <c r="D20" s="58">
        <f>$G$10</f>
        <v>3</v>
      </c>
      <c r="E20" s="57">
        <f>$E$12</f>
        <v>20</v>
      </c>
      <c r="F20" s="9">
        <f t="shared" si="2"/>
        <v>60</v>
      </c>
      <c r="G20" s="189">
        <f t="shared" si="0"/>
        <v>1440</v>
      </c>
      <c r="H20" s="61" t="s">
        <v>16</v>
      </c>
      <c r="N20" s="50" t="s">
        <v>28</v>
      </c>
      <c r="O20" s="9" t="s">
        <v>109</v>
      </c>
      <c r="P20" s="185">
        <f>'Prices_non-Labor'!$E$35</f>
        <v>24</v>
      </c>
      <c r="Q20" s="61">
        <f>U10</f>
        <v>2</v>
      </c>
      <c r="R20" s="57">
        <f>$E$12</f>
        <v>20</v>
      </c>
      <c r="S20" s="9">
        <f t="shared" si="3"/>
        <v>40</v>
      </c>
      <c r="T20" s="189">
        <f t="shared" si="1"/>
        <v>960</v>
      </c>
      <c r="U20" s="61" t="s">
        <v>16</v>
      </c>
      <c r="Z20" s="8"/>
    </row>
    <row r="21" spans="1:26" x14ac:dyDescent="0.25">
      <c r="A21" s="50" t="s">
        <v>78</v>
      </c>
      <c r="B21" s="9" t="s">
        <v>109</v>
      </c>
      <c r="C21" s="185">
        <f>'Prices_non-Labor'!$E$35</f>
        <v>24</v>
      </c>
      <c r="D21" s="58">
        <f>$G$10</f>
        <v>3</v>
      </c>
      <c r="E21" s="57">
        <f>$E$13</f>
        <v>400</v>
      </c>
      <c r="F21" s="9">
        <f t="shared" si="2"/>
        <v>1200</v>
      </c>
      <c r="G21" s="189">
        <f t="shared" si="0"/>
        <v>28800</v>
      </c>
      <c r="H21" s="61" t="s">
        <v>16</v>
      </c>
      <c r="N21" s="50" t="s">
        <v>78</v>
      </c>
      <c r="O21" s="9" t="s">
        <v>109</v>
      </c>
      <c r="P21" s="185">
        <f>'Prices_non-Labor'!$E$35</f>
        <v>24</v>
      </c>
      <c r="Q21" s="61">
        <f>U10</f>
        <v>2</v>
      </c>
      <c r="R21" s="57">
        <f>$E$13</f>
        <v>400</v>
      </c>
      <c r="S21" s="9">
        <f t="shared" si="3"/>
        <v>800</v>
      </c>
      <c r="T21" s="189">
        <f t="shared" si="1"/>
        <v>19200</v>
      </c>
      <c r="U21" s="61" t="s">
        <v>16</v>
      </c>
      <c r="Z21" s="8"/>
    </row>
    <row r="22" spans="1:26" x14ac:dyDescent="0.25">
      <c r="A22" s="50" t="s">
        <v>39</v>
      </c>
      <c r="B22" s="9" t="s">
        <v>15</v>
      </c>
      <c r="C22" s="185">
        <f>'Prices_non-Labor'!E24</f>
        <v>110.00000000000001</v>
      </c>
      <c r="D22" s="58">
        <f>$G$10</f>
        <v>3</v>
      </c>
      <c r="E22" s="57">
        <f>$E$12</f>
        <v>20</v>
      </c>
      <c r="F22" s="9">
        <f t="shared" si="2"/>
        <v>60</v>
      </c>
      <c r="G22" s="189">
        <f t="shared" si="0"/>
        <v>6600.0000000000009</v>
      </c>
      <c r="H22" s="61" t="s">
        <v>16</v>
      </c>
      <c r="N22" s="50" t="s">
        <v>39</v>
      </c>
      <c r="O22" s="9" t="s">
        <v>15</v>
      </c>
      <c r="P22" s="185">
        <f>'Prices_non-Labor'!$E$24</f>
        <v>110.00000000000001</v>
      </c>
      <c r="Q22" s="61">
        <f>U10</f>
        <v>2</v>
      </c>
      <c r="R22" s="57">
        <f>$E$12</f>
        <v>20</v>
      </c>
      <c r="S22" s="9">
        <f>R22*U10</f>
        <v>40</v>
      </c>
      <c r="T22" s="189">
        <f t="shared" si="1"/>
        <v>4400.0000000000009</v>
      </c>
      <c r="U22" s="61" t="s">
        <v>16</v>
      </c>
      <c r="Z22" s="8"/>
    </row>
    <row r="23" spans="1:26" x14ac:dyDescent="0.25">
      <c r="A23" s="168"/>
      <c r="D23" s="8"/>
      <c r="E23" s="149"/>
      <c r="F23" s="174"/>
      <c r="G23" s="64"/>
      <c r="H23" s="64"/>
      <c r="K23" s="72"/>
      <c r="L23" s="64"/>
      <c r="N23" s="168"/>
      <c r="Q23" s="8"/>
      <c r="R23" s="149"/>
      <c r="S23" s="174"/>
      <c r="T23" s="64"/>
      <c r="U23" s="64"/>
      <c r="X23" s="72"/>
      <c r="Y23" s="64"/>
      <c r="Z23" s="8"/>
    </row>
    <row r="24" spans="1:26" ht="15" customHeight="1" x14ac:dyDescent="0.25">
      <c r="A24" s="175" t="s">
        <v>73</v>
      </c>
      <c r="B24" s="176" t="s">
        <v>32</v>
      </c>
      <c r="C24" s="176"/>
      <c r="D24" s="175" t="s">
        <v>69</v>
      </c>
      <c r="E24" s="175"/>
      <c r="F24" s="175"/>
      <c r="G24" s="176" t="s">
        <v>32</v>
      </c>
      <c r="H24" s="175" t="s">
        <v>70</v>
      </c>
      <c r="I24" s="175"/>
      <c r="J24" s="175"/>
      <c r="K24" s="176" t="s">
        <v>32</v>
      </c>
      <c r="L24" s="177" t="s">
        <v>45</v>
      </c>
      <c r="N24" s="175" t="s">
        <v>276</v>
      </c>
      <c r="O24" s="176" t="s">
        <v>32</v>
      </c>
      <c r="P24" s="176"/>
      <c r="Q24" s="175" t="s">
        <v>277</v>
      </c>
      <c r="R24" s="175"/>
      <c r="S24" s="175"/>
      <c r="T24" s="176" t="s">
        <v>32</v>
      </c>
      <c r="U24" s="175" t="s">
        <v>282</v>
      </c>
      <c r="V24" s="175"/>
      <c r="W24" s="175"/>
      <c r="X24" s="176" t="s">
        <v>32</v>
      </c>
      <c r="Y24" s="332" t="s">
        <v>45</v>
      </c>
      <c r="Z24" s="8"/>
    </row>
    <row r="25" spans="1:26" x14ac:dyDescent="0.25">
      <c r="A25" s="59" t="s">
        <v>71</v>
      </c>
      <c r="B25" s="186">
        <f>SUM(G14:G22)</f>
        <v>52128</v>
      </c>
      <c r="C25" s="85"/>
      <c r="D25" s="50" t="s">
        <v>55</v>
      </c>
      <c r="E25" s="59"/>
      <c r="F25" s="50"/>
      <c r="G25" s="191">
        <f>B25/'Demographic Data'!B2</f>
        <v>521.28</v>
      </c>
      <c r="H25" s="115" t="s">
        <v>57</v>
      </c>
      <c r="I25" s="116"/>
      <c r="J25" s="117"/>
      <c r="K25" s="71">
        <f>SUMIFS($G$12:$G$22, $B$12:$B$22, "Materials", $H$12:$H$22, "Yes")</f>
        <v>1008</v>
      </c>
      <c r="L25" s="97">
        <f>K25/$B$25</f>
        <v>1.9337016574585635E-2</v>
      </c>
      <c r="N25" s="59" t="s">
        <v>291</v>
      </c>
      <c r="O25" s="186">
        <f>SUM(T14:T22)</f>
        <v>39428</v>
      </c>
      <c r="P25" s="85"/>
      <c r="Q25" s="50" t="s">
        <v>278</v>
      </c>
      <c r="R25" s="59"/>
      <c r="S25" s="50"/>
      <c r="T25" s="191">
        <f>O25/'Demographic Data'!$B$2</f>
        <v>394.28</v>
      </c>
      <c r="U25" s="115" t="s">
        <v>283</v>
      </c>
      <c r="V25" s="116"/>
      <c r="W25" s="117"/>
      <c r="X25" s="71">
        <f>SUMIFS($T$12:$T$22, $O$12:$O$22, "Materials", $U$12:$U$22, "Yes")</f>
        <v>588</v>
      </c>
      <c r="Y25" s="97">
        <f>X25/$O$25</f>
        <v>1.4913259612458152E-2</v>
      </c>
      <c r="Z25" s="8"/>
    </row>
    <row r="26" spans="1:26" x14ac:dyDescent="0.25">
      <c r="A26" s="59"/>
      <c r="B26" s="65"/>
      <c r="C26" s="65"/>
      <c r="D26" s="50" t="s">
        <v>56</v>
      </c>
      <c r="E26" s="59"/>
      <c r="F26" s="50"/>
      <c r="G26" s="192">
        <f>B25/'Demographic Data'!B3</f>
        <v>5.2127999999999997</v>
      </c>
      <c r="H26" s="115" t="s">
        <v>59</v>
      </c>
      <c r="I26" s="116"/>
      <c r="J26" s="117"/>
      <c r="K26" s="71">
        <f>SUMIFS($G$12:$G$22, $B$12:$B$22, "Transportation", $H$12:$H$22, "Yes")</f>
        <v>14280</v>
      </c>
      <c r="L26" s="97">
        <f>K26/$B$25</f>
        <v>0.27394106813996316</v>
      </c>
      <c r="N26" s="59"/>
      <c r="O26" s="65"/>
      <c r="P26" s="65"/>
      <c r="Q26" s="50" t="s">
        <v>279</v>
      </c>
      <c r="R26" s="59"/>
      <c r="S26" s="50"/>
      <c r="T26" s="192">
        <f>O25/'Demographic Data'!$B$3</f>
        <v>3.9428000000000001</v>
      </c>
      <c r="U26" s="115" t="s">
        <v>284</v>
      </c>
      <c r="V26" s="116"/>
      <c r="W26" s="117"/>
      <c r="X26" s="71">
        <f>SUMIFS($T$12:$T$22, $O$12:$O$22, "Transportation", $U$12:$U$22, "Yes")</f>
        <v>14280</v>
      </c>
      <c r="Y26" s="97">
        <f>X26/$O$25</f>
        <v>0.36217916201684081</v>
      </c>
      <c r="Z26" s="8"/>
    </row>
    <row r="27" spans="1:26" x14ac:dyDescent="0.25">
      <c r="A27" s="59"/>
      <c r="B27" s="74"/>
      <c r="C27" s="82"/>
      <c r="D27" s="50" t="s">
        <v>58</v>
      </c>
      <c r="E27" s="59"/>
      <c r="F27" s="50"/>
      <c r="G27" s="192">
        <f>B25/'Demographic Data'!B4</f>
        <v>1.7376</v>
      </c>
      <c r="H27" s="115" t="s">
        <v>110</v>
      </c>
      <c r="I27" s="116"/>
      <c r="J27" s="117"/>
      <c r="K27" s="71">
        <f>SUMIFS($G$12:$G$22, $B$12:$B$22, "Meals/Per Diem", $H$12:$H$22, "Yes")</f>
        <v>30240</v>
      </c>
      <c r="L27" s="97">
        <f>K27/$B$25</f>
        <v>0.58011049723756902</v>
      </c>
      <c r="N27" s="59"/>
      <c r="O27" s="74"/>
      <c r="P27" s="82"/>
      <c r="Q27" s="50" t="s">
        <v>280</v>
      </c>
      <c r="R27" s="59"/>
      <c r="S27" s="50"/>
      <c r="T27" s="192">
        <f>O25/'Demographic Data'!$B$4</f>
        <v>1.3142666666666667</v>
      </c>
      <c r="U27" s="115" t="s">
        <v>285</v>
      </c>
      <c r="V27" s="116"/>
      <c r="W27" s="117"/>
      <c r="X27" s="71">
        <f>SUMIFS($T$12:$T$22, $O$12:$O$22, "Meals/Per Diem", $U$12:$U$22, "Yes")</f>
        <v>20160</v>
      </c>
      <c r="Y27" s="97">
        <f>X27/$O$25</f>
        <v>0.51131175814142238</v>
      </c>
      <c r="Z27" s="8"/>
    </row>
    <row r="28" spans="1:26" x14ac:dyDescent="0.25">
      <c r="A28" s="8"/>
      <c r="B28" s="8"/>
      <c r="C28" s="8"/>
      <c r="D28" s="50" t="s">
        <v>60</v>
      </c>
      <c r="E28" s="59"/>
      <c r="F28" s="75"/>
      <c r="G28" s="134">
        <f>B25/'Demographic Data'!B5</f>
        <v>4.3439999999999999E-2</v>
      </c>
      <c r="H28" s="433" t="s">
        <v>61</v>
      </c>
      <c r="I28" s="433"/>
      <c r="J28" s="433"/>
      <c r="K28" s="71">
        <f>SUMIFS($G$12:$G$22, $B$12:$B$22, "Facilities", $H$12:$H$22, "Yes")</f>
        <v>6600.0000000000009</v>
      </c>
      <c r="L28" s="97">
        <f>K28/$B$25</f>
        <v>0.12661141804788215</v>
      </c>
      <c r="N28" s="8"/>
      <c r="O28" s="8"/>
      <c r="P28" s="8"/>
      <c r="Q28" s="50" t="s">
        <v>281</v>
      </c>
      <c r="R28" s="59"/>
      <c r="S28" s="75"/>
      <c r="T28" s="134">
        <f>O25/'Demographic Data'!$B$5</f>
        <v>3.2856666666666666E-2</v>
      </c>
      <c r="U28" s="433" t="s">
        <v>286</v>
      </c>
      <c r="V28" s="433"/>
      <c r="W28" s="433"/>
      <c r="X28" s="71">
        <f>SUMIFS($T$12:$T$22, $O$12:$O$22, "Facilities", $U$12:$U$22, "Yes")</f>
        <v>4400.0000000000009</v>
      </c>
      <c r="Y28" s="97">
        <f>X28/$O$25</f>
        <v>0.11159582022927871</v>
      </c>
      <c r="Z28" s="8"/>
    </row>
    <row r="29" spans="1:26" x14ac:dyDescent="0.25">
      <c r="A29" s="8"/>
      <c r="B29" s="8"/>
      <c r="C29" s="8"/>
      <c r="D29" s="168"/>
      <c r="E29" s="8"/>
      <c r="F29" s="49"/>
      <c r="G29" s="73"/>
      <c r="H29" s="182"/>
      <c r="I29" s="432"/>
      <c r="J29" s="432"/>
      <c r="K29" s="432"/>
      <c r="L29" s="67" t="s">
        <v>1</v>
      </c>
      <c r="M29" s="282"/>
      <c r="N29" s="8"/>
      <c r="O29" s="8"/>
      <c r="P29" s="8"/>
      <c r="Q29" s="168"/>
      <c r="R29" s="8"/>
      <c r="S29" s="49"/>
      <c r="T29" s="73"/>
      <c r="U29" s="182"/>
      <c r="V29" s="432"/>
      <c r="W29" s="432"/>
      <c r="X29" s="432"/>
      <c r="Y29" s="67">
        <f>SUM(Y25:Y28)</f>
        <v>1</v>
      </c>
      <c r="Z29" s="8"/>
    </row>
    <row r="30" spans="1:26" x14ac:dyDescent="0.25">
      <c r="D30" s="168"/>
      <c r="E30" s="8"/>
      <c r="F30" s="49"/>
      <c r="G30" s="73"/>
      <c r="H30" s="8"/>
      <c r="I30" s="8"/>
      <c r="J30" s="8"/>
      <c r="K30" s="8"/>
      <c r="L30" s="67"/>
      <c r="M30" s="282"/>
      <c r="Q30" s="168"/>
      <c r="R30" s="8"/>
      <c r="S30" s="49"/>
      <c r="T30" s="73"/>
      <c r="U30" s="8"/>
      <c r="V30" s="8"/>
      <c r="W30" s="8"/>
      <c r="X30" s="8"/>
      <c r="Y30" s="67"/>
      <c r="Z30" s="8"/>
    </row>
    <row r="31" spans="1:26" x14ac:dyDescent="0.25">
      <c r="A31" s="8"/>
      <c r="B31" s="8"/>
      <c r="C31" s="8"/>
      <c r="D31" s="183"/>
      <c r="E31" s="70"/>
      <c r="F31" s="184"/>
      <c r="G31" s="8"/>
      <c r="H31" s="70"/>
      <c r="I31" s="70"/>
      <c r="J31" s="70"/>
      <c r="K31" s="145"/>
      <c r="L31" s="103"/>
      <c r="M31" s="283"/>
      <c r="N31" s="8"/>
      <c r="O31" s="8"/>
      <c r="P31" s="8"/>
      <c r="Q31" s="183"/>
      <c r="R31" s="70"/>
      <c r="S31" s="184"/>
      <c r="T31" s="8"/>
      <c r="U31" s="70"/>
      <c r="V31" s="70"/>
      <c r="W31" s="70"/>
      <c r="X31" s="145"/>
      <c r="Y31" s="103"/>
    </row>
    <row r="32" spans="1:26" x14ac:dyDescent="0.25">
      <c r="A32" s="8"/>
      <c r="B32" s="8"/>
      <c r="C32" s="8"/>
      <c r="D32" s="8"/>
      <c r="E32" s="70"/>
      <c r="F32" s="184"/>
      <c r="G32" s="8"/>
      <c r="H32" s="70"/>
      <c r="I32" s="70"/>
      <c r="J32" s="70"/>
      <c r="K32" s="145"/>
      <c r="L32" s="103"/>
      <c r="M32" s="283"/>
      <c r="N32" s="8"/>
      <c r="O32" s="8"/>
      <c r="P32" s="8"/>
      <c r="Q32" s="8"/>
      <c r="R32" s="70"/>
      <c r="S32" s="184"/>
      <c r="T32" s="8"/>
      <c r="U32" s="70"/>
      <c r="V32" s="70"/>
      <c r="W32" s="70"/>
      <c r="X32" s="145"/>
      <c r="Y32" s="103"/>
    </row>
    <row r="33" spans="1:25" x14ac:dyDescent="0.25">
      <c r="A33" s="340" t="s">
        <v>191</v>
      </c>
      <c r="B33" s="10" t="s">
        <v>217</v>
      </c>
      <c r="C33" s="10">
        <v>0.1</v>
      </c>
      <c r="D33" s="10" t="s">
        <v>218</v>
      </c>
      <c r="E33" s="277">
        <v>0.9</v>
      </c>
      <c r="F33" s="10" t="s">
        <v>74</v>
      </c>
      <c r="G33" s="10">
        <v>4</v>
      </c>
      <c r="H33" s="8"/>
      <c r="I33" s="8"/>
      <c r="J33" s="8"/>
      <c r="K33" s="8"/>
      <c r="L33" s="67"/>
      <c r="M33" s="283"/>
      <c r="N33" s="329" t="s">
        <v>287</v>
      </c>
      <c r="O33" s="10" t="s">
        <v>217</v>
      </c>
      <c r="P33" s="277">
        <v>0.1</v>
      </c>
      <c r="Q33" s="10" t="s">
        <v>218</v>
      </c>
      <c r="R33" s="277">
        <v>0.9</v>
      </c>
      <c r="S33" s="10" t="s">
        <v>74</v>
      </c>
      <c r="T33" s="329">
        <f>T4</f>
        <v>3</v>
      </c>
      <c r="U33" s="8"/>
      <c r="V33" s="8"/>
      <c r="W33" s="8"/>
      <c r="X33" s="8"/>
      <c r="Y33" s="67"/>
    </row>
    <row r="34" spans="1:25" ht="45" x14ac:dyDescent="0.25">
      <c r="A34" s="142" t="s">
        <v>1</v>
      </c>
      <c r="B34" s="144" t="s">
        <v>0</v>
      </c>
      <c r="C34" s="143" t="s">
        <v>44</v>
      </c>
      <c r="D34" s="143" t="s">
        <v>25</v>
      </c>
      <c r="E34" s="143" t="s">
        <v>20</v>
      </c>
      <c r="F34" s="143" t="s">
        <v>21</v>
      </c>
      <c r="G34" s="143" t="s">
        <v>114</v>
      </c>
      <c r="H34" s="143" t="s">
        <v>17</v>
      </c>
      <c r="I34" s="41"/>
      <c r="J34" s="48"/>
      <c r="N34" s="142" t="s">
        <v>1</v>
      </c>
      <c r="O34" s="144" t="s">
        <v>0</v>
      </c>
      <c r="P34" s="143" t="s">
        <v>44</v>
      </c>
      <c r="Q34" s="143" t="s">
        <v>25</v>
      </c>
      <c r="R34" s="143" t="s">
        <v>20</v>
      </c>
      <c r="S34" s="143" t="s">
        <v>21</v>
      </c>
      <c r="T34" s="143" t="s">
        <v>114</v>
      </c>
      <c r="U34" s="143" t="s">
        <v>17</v>
      </c>
      <c r="V34" s="41"/>
      <c r="W34" s="48"/>
    </row>
    <row r="35" spans="1:25" x14ac:dyDescent="0.25">
      <c r="A35" s="128" t="s">
        <v>84</v>
      </c>
      <c r="B35" s="129"/>
      <c r="C35" s="130"/>
      <c r="D35" s="129">
        <f>G33</f>
        <v>4</v>
      </c>
      <c r="E35" s="190">
        <v>400</v>
      </c>
      <c r="F35" s="130">
        <f>D35*E35</f>
        <v>1600</v>
      </c>
      <c r="G35" s="187"/>
      <c r="H35" s="188" t="s">
        <v>18</v>
      </c>
      <c r="N35" s="128" t="s">
        <v>267</v>
      </c>
      <c r="O35" s="129"/>
      <c r="P35" s="130"/>
      <c r="Q35" s="129">
        <f>T33</f>
        <v>3</v>
      </c>
      <c r="R35" s="190">
        <v>100</v>
      </c>
      <c r="S35" s="130">
        <f>Q35*R35</f>
        <v>300</v>
      </c>
      <c r="T35" s="187"/>
      <c r="U35" s="188" t="s">
        <v>18</v>
      </c>
    </row>
    <row r="36" spans="1:25" x14ac:dyDescent="0.25">
      <c r="A36" s="129" t="s">
        <v>85</v>
      </c>
      <c r="B36" s="129"/>
      <c r="C36" s="130"/>
      <c r="D36" s="129">
        <f>G33</f>
        <v>4</v>
      </c>
      <c r="E36" s="130">
        <f>'Demographic Data'!B6</f>
        <v>1000</v>
      </c>
      <c r="F36" s="130">
        <f>D36*E36</f>
        <v>4000</v>
      </c>
      <c r="G36" s="187"/>
      <c r="H36" s="188" t="s">
        <v>18</v>
      </c>
      <c r="I36" s="41"/>
      <c r="J36" s="41"/>
      <c r="N36" s="129" t="s">
        <v>85</v>
      </c>
      <c r="O36" s="129"/>
      <c r="P36" s="130"/>
      <c r="Q36" s="129">
        <f>T33</f>
        <v>3</v>
      </c>
      <c r="R36" s="130">
        <f>'Demographic Data'!$B$6</f>
        <v>1000</v>
      </c>
      <c r="S36" s="130">
        <f>Q36*R36</f>
        <v>3000</v>
      </c>
      <c r="T36" s="187"/>
      <c r="U36" s="188" t="s">
        <v>18</v>
      </c>
      <c r="V36" s="41"/>
      <c r="W36" s="41"/>
    </row>
    <row r="37" spans="1:25" x14ac:dyDescent="0.25">
      <c r="A37" s="129" t="s">
        <v>30</v>
      </c>
      <c r="B37" s="129"/>
      <c r="C37" s="130"/>
      <c r="D37" s="129">
        <f>G33</f>
        <v>4</v>
      </c>
      <c r="E37" s="130">
        <f>'Demographic Data'!B3</f>
        <v>10000</v>
      </c>
      <c r="F37" s="130">
        <f>D37*E37</f>
        <v>40000</v>
      </c>
      <c r="G37" s="187"/>
      <c r="H37" s="188" t="s">
        <v>18</v>
      </c>
      <c r="I37" s="41"/>
      <c r="J37" s="41"/>
      <c r="N37" s="50" t="s">
        <v>26</v>
      </c>
      <c r="O37" s="9" t="s">
        <v>3</v>
      </c>
      <c r="P37" s="185">
        <f>'Prices_non-Labor'!$E$12</f>
        <v>1.2</v>
      </c>
      <c r="Q37" s="53">
        <v>1</v>
      </c>
      <c r="R37" s="51">
        <f>R36*Q37</f>
        <v>1000</v>
      </c>
      <c r="S37" s="51">
        <f>R37*Q37</f>
        <v>1000</v>
      </c>
      <c r="T37" s="189">
        <f t="shared" ref="T37:T49" si="4">S37*P37</f>
        <v>1200</v>
      </c>
      <c r="U37" s="61" t="s">
        <v>16</v>
      </c>
      <c r="V37" s="137"/>
      <c r="W37" s="41"/>
    </row>
    <row r="38" spans="1:25" x14ac:dyDescent="0.25">
      <c r="A38" s="129" t="s">
        <v>19</v>
      </c>
      <c r="B38" s="129"/>
      <c r="C38" s="130"/>
      <c r="D38" s="129">
        <f>G33</f>
        <v>4</v>
      </c>
      <c r="E38" s="130">
        <f>'Demographic Data'!B4</f>
        <v>30000</v>
      </c>
      <c r="F38" s="130">
        <f>D38*E38</f>
        <v>120000</v>
      </c>
      <c r="G38" s="187"/>
      <c r="H38" s="188" t="s">
        <v>18</v>
      </c>
      <c r="I38" s="41"/>
      <c r="J38" s="41"/>
      <c r="N38" s="50" t="s">
        <v>79</v>
      </c>
      <c r="O38" s="9" t="s">
        <v>3</v>
      </c>
      <c r="P38" s="185">
        <f>'Prices_non-Labor'!$E$13</f>
        <v>1</v>
      </c>
      <c r="Q38" s="53">
        <v>0.2</v>
      </c>
      <c r="R38" s="51">
        <f>SUM(R35:R36)</f>
        <v>1100</v>
      </c>
      <c r="S38" s="51">
        <f>R38*Q38</f>
        <v>220</v>
      </c>
      <c r="T38" s="189">
        <f t="shared" si="4"/>
        <v>220</v>
      </c>
      <c r="U38" s="61" t="s">
        <v>16</v>
      </c>
      <c r="V38" s="137"/>
      <c r="W38" s="41"/>
    </row>
    <row r="39" spans="1:25" x14ac:dyDescent="0.25">
      <c r="A39" s="50" t="s">
        <v>26</v>
      </c>
      <c r="B39" s="9" t="s">
        <v>3</v>
      </c>
      <c r="C39" s="185">
        <f>'Prices_non-Labor'!$E$12</f>
        <v>1.2</v>
      </c>
      <c r="D39" s="53">
        <v>0.5</v>
      </c>
      <c r="E39" s="51">
        <f>SUM(E35+E36+E37+E38)</f>
        <v>41400</v>
      </c>
      <c r="F39" s="51">
        <f>E39*D39</f>
        <v>20700</v>
      </c>
      <c r="G39" s="189">
        <f t="shared" ref="G39:G61" si="5">F39*C39</f>
        <v>24840</v>
      </c>
      <c r="H39" s="61" t="s">
        <v>16</v>
      </c>
      <c r="I39" s="137"/>
      <c r="J39" s="41"/>
      <c r="N39" s="50" t="s">
        <v>292</v>
      </c>
      <c r="O39" s="9" t="s">
        <v>3</v>
      </c>
      <c r="P39" s="185">
        <f>'Prices_non-Labor'!$E$11</f>
        <v>1</v>
      </c>
      <c r="Q39" s="9">
        <v>0</v>
      </c>
      <c r="R39" s="65">
        <f>$E$35</f>
        <v>400</v>
      </c>
      <c r="S39" s="51">
        <f t="shared" ref="S39:S43" si="6">Q39*R39</f>
        <v>0</v>
      </c>
      <c r="T39" s="189">
        <f t="shared" si="4"/>
        <v>0</v>
      </c>
      <c r="U39" s="61" t="s">
        <v>16</v>
      </c>
      <c r="V39" s="41"/>
      <c r="W39" s="41"/>
    </row>
    <row r="40" spans="1:25" x14ac:dyDescent="0.25">
      <c r="A40" s="50" t="s">
        <v>79</v>
      </c>
      <c r="B40" s="9" t="s">
        <v>3</v>
      </c>
      <c r="C40" s="185">
        <f>'Prices_non-Labor'!$E$13</f>
        <v>1</v>
      </c>
      <c r="D40" s="53">
        <v>0.2</v>
      </c>
      <c r="E40" s="51">
        <f>SUM(E35:E38)</f>
        <v>41400</v>
      </c>
      <c r="F40" s="51">
        <f>E40*D40</f>
        <v>8280</v>
      </c>
      <c r="G40" s="189">
        <f t="shared" si="5"/>
        <v>8280</v>
      </c>
      <c r="H40" s="61" t="s">
        <v>16</v>
      </c>
      <c r="I40" s="137"/>
      <c r="J40" s="41"/>
      <c r="N40" s="9" t="s">
        <v>293</v>
      </c>
      <c r="O40" s="9" t="s">
        <v>3</v>
      </c>
      <c r="P40" s="185">
        <f>'Prices_non-Labor'!$E$11</f>
        <v>1</v>
      </c>
      <c r="Q40" s="9">
        <v>1</v>
      </c>
      <c r="R40" s="65">
        <f>$E$36</f>
        <v>1000</v>
      </c>
      <c r="S40" s="51">
        <f t="shared" si="6"/>
        <v>1000</v>
      </c>
      <c r="T40" s="189">
        <f t="shared" si="4"/>
        <v>1000</v>
      </c>
      <c r="U40" s="61" t="s">
        <v>16</v>
      </c>
      <c r="V40" s="41"/>
      <c r="W40" s="41"/>
    </row>
    <row r="41" spans="1:25" x14ac:dyDescent="0.25">
      <c r="A41" s="50" t="s">
        <v>83</v>
      </c>
      <c r="B41" s="9" t="s">
        <v>3</v>
      </c>
      <c r="C41" s="185">
        <f>'Prices_non-Labor'!$E$11</f>
        <v>1</v>
      </c>
      <c r="D41" s="9">
        <v>1</v>
      </c>
      <c r="E41" s="65">
        <f>$E$35</f>
        <v>400</v>
      </c>
      <c r="F41" s="51">
        <f t="shared" ref="F41:F47" si="7">D41*E41</f>
        <v>400</v>
      </c>
      <c r="G41" s="189">
        <f t="shared" si="5"/>
        <v>400</v>
      </c>
      <c r="H41" s="61" t="s">
        <v>16</v>
      </c>
      <c r="I41" s="41"/>
      <c r="J41" s="41"/>
      <c r="N41" s="50" t="s">
        <v>201</v>
      </c>
      <c r="O41" s="9" t="s">
        <v>41</v>
      </c>
      <c r="P41" s="186">
        <f>'Prices_non-Labor'!$E$30</f>
        <v>13.5</v>
      </c>
      <c r="Q41" s="52">
        <f>$T$33</f>
        <v>3</v>
      </c>
      <c r="R41" s="105">
        <f>$E$35*$E$33</f>
        <v>360</v>
      </c>
      <c r="S41" s="133">
        <f t="shared" si="6"/>
        <v>1080</v>
      </c>
      <c r="T41" s="189">
        <f t="shared" si="4"/>
        <v>14580</v>
      </c>
      <c r="U41" s="61" t="s">
        <v>16</v>
      </c>
      <c r="V41" s="41"/>
      <c r="W41" s="41"/>
    </row>
    <row r="42" spans="1:25" x14ac:dyDescent="0.25">
      <c r="A42" s="9" t="s">
        <v>86</v>
      </c>
      <c r="B42" s="9" t="s">
        <v>3</v>
      </c>
      <c r="C42" s="185">
        <f>'Prices_non-Labor'!$E$11</f>
        <v>1</v>
      </c>
      <c r="D42" s="9">
        <v>0.2</v>
      </c>
      <c r="E42" s="65">
        <f>$E$36</f>
        <v>1000</v>
      </c>
      <c r="F42" s="51">
        <f t="shared" si="7"/>
        <v>200</v>
      </c>
      <c r="G42" s="189">
        <f t="shared" si="5"/>
        <v>200</v>
      </c>
      <c r="H42" s="61" t="s">
        <v>16</v>
      </c>
      <c r="I42" s="41"/>
      <c r="J42" s="41"/>
      <c r="N42" s="50" t="s">
        <v>203</v>
      </c>
      <c r="O42" s="9" t="s">
        <v>41</v>
      </c>
      <c r="P42" s="186">
        <f>'Prices_non-Labor'!$E$36</f>
        <v>34</v>
      </c>
      <c r="Q42" s="9">
        <v>1</v>
      </c>
      <c r="R42" s="105">
        <f>$E$35*$C$33</f>
        <v>40</v>
      </c>
      <c r="S42" s="51">
        <f t="shared" si="6"/>
        <v>40</v>
      </c>
      <c r="T42" s="189">
        <f t="shared" si="4"/>
        <v>1360</v>
      </c>
      <c r="U42" s="61" t="s">
        <v>16</v>
      </c>
      <c r="V42" s="41"/>
      <c r="W42" s="41"/>
    </row>
    <row r="43" spans="1:25" x14ac:dyDescent="0.25">
      <c r="A43" s="9" t="s">
        <v>31</v>
      </c>
      <c r="B43" s="9" t="s">
        <v>3</v>
      </c>
      <c r="C43" s="185">
        <f>'Prices_non-Labor'!$E$11</f>
        <v>1</v>
      </c>
      <c r="D43" s="9">
        <v>0.2</v>
      </c>
      <c r="E43" s="65">
        <f>$E$37</f>
        <v>10000</v>
      </c>
      <c r="F43" s="51">
        <f t="shared" si="7"/>
        <v>2000</v>
      </c>
      <c r="G43" s="189">
        <f t="shared" si="5"/>
        <v>2000</v>
      </c>
      <c r="H43" s="61" t="s">
        <v>16</v>
      </c>
      <c r="I43" s="41"/>
      <c r="J43" s="41"/>
      <c r="N43" s="9" t="s">
        <v>198</v>
      </c>
      <c r="O43" s="9" t="s">
        <v>41</v>
      </c>
      <c r="P43" s="186">
        <f>'Prices_non-Labor'!$E$30</f>
        <v>13.5</v>
      </c>
      <c r="Q43" s="52">
        <f>$T$33</f>
        <v>3</v>
      </c>
      <c r="R43" s="105">
        <f>R36*$E$33</f>
        <v>900</v>
      </c>
      <c r="S43" s="51">
        <f t="shared" si="6"/>
        <v>2700</v>
      </c>
      <c r="T43" s="189">
        <f t="shared" si="4"/>
        <v>36450</v>
      </c>
      <c r="U43" s="61" t="s">
        <v>16</v>
      </c>
      <c r="V43" s="41"/>
      <c r="W43" s="41"/>
    </row>
    <row r="44" spans="1:25" x14ac:dyDescent="0.25">
      <c r="A44" s="9" t="s">
        <v>27</v>
      </c>
      <c r="B44" s="9" t="s">
        <v>3</v>
      </c>
      <c r="C44" s="185">
        <f>'Prices_non-Labor'!$E$11</f>
        <v>1</v>
      </c>
      <c r="D44" s="9">
        <v>0.2</v>
      </c>
      <c r="E44" s="65">
        <f>$E$38</f>
        <v>30000</v>
      </c>
      <c r="F44" s="51">
        <f t="shared" si="7"/>
        <v>6000</v>
      </c>
      <c r="G44" s="189">
        <f t="shared" si="5"/>
        <v>6000</v>
      </c>
      <c r="H44" s="61" t="s">
        <v>16</v>
      </c>
      <c r="I44" s="41"/>
      <c r="J44" s="41"/>
      <c r="N44" s="9" t="s">
        <v>204</v>
      </c>
      <c r="O44" s="9" t="s">
        <v>41</v>
      </c>
      <c r="P44" s="186">
        <f>'Prices_non-Labor'!$E$36</f>
        <v>34</v>
      </c>
      <c r="Q44" s="9">
        <v>1</v>
      </c>
      <c r="R44" s="45">
        <f>$E$36*P33</f>
        <v>100</v>
      </c>
      <c r="S44" s="65">
        <f>R44*Q44</f>
        <v>100</v>
      </c>
      <c r="T44" s="189">
        <f t="shared" si="4"/>
        <v>3400</v>
      </c>
      <c r="U44" s="61" t="s">
        <v>16</v>
      </c>
      <c r="V44" s="41"/>
      <c r="W44" s="41"/>
    </row>
    <row r="45" spans="1:25" x14ac:dyDescent="0.25">
      <c r="A45" s="50" t="s">
        <v>201</v>
      </c>
      <c r="B45" s="9" t="s">
        <v>41</v>
      </c>
      <c r="C45" s="186">
        <f>'Prices_non-Labor'!$E$30</f>
        <v>13.5</v>
      </c>
      <c r="D45" s="52">
        <f>$G$33</f>
        <v>4</v>
      </c>
      <c r="E45" s="105">
        <f>$E$35*$E$33</f>
        <v>360</v>
      </c>
      <c r="F45" s="133">
        <f t="shared" si="7"/>
        <v>1440</v>
      </c>
      <c r="G45" s="189">
        <f t="shared" si="5"/>
        <v>19440</v>
      </c>
      <c r="H45" s="61" t="s">
        <v>16</v>
      </c>
      <c r="I45" s="41"/>
      <c r="J45" s="41"/>
      <c r="N45" s="50" t="s">
        <v>201</v>
      </c>
      <c r="O45" s="9" t="s">
        <v>109</v>
      </c>
      <c r="P45" s="65">
        <f>'Prices_non-Labor'!$E$29</f>
        <v>6.5</v>
      </c>
      <c r="Q45" s="52">
        <f>$T$33</f>
        <v>3</v>
      </c>
      <c r="R45" s="105">
        <f>$E$35*$E$33</f>
        <v>360</v>
      </c>
      <c r="S45" s="133">
        <f>Q45*R45</f>
        <v>1080</v>
      </c>
      <c r="T45" s="189">
        <f t="shared" si="4"/>
        <v>7020</v>
      </c>
      <c r="U45" s="61" t="s">
        <v>16</v>
      </c>
      <c r="V45" s="54"/>
      <c r="W45" s="54"/>
    </row>
    <row r="46" spans="1:25" x14ac:dyDescent="0.25">
      <c r="A46" s="50" t="s">
        <v>203</v>
      </c>
      <c r="B46" s="9" t="s">
        <v>41</v>
      </c>
      <c r="C46" s="186">
        <f>'Prices_non-Labor'!$E$36</f>
        <v>34</v>
      </c>
      <c r="D46" s="9">
        <v>1</v>
      </c>
      <c r="E46" s="105">
        <f>$E$35*$C$33</f>
        <v>40</v>
      </c>
      <c r="F46" s="51">
        <f t="shared" si="7"/>
        <v>40</v>
      </c>
      <c r="G46" s="189">
        <f t="shared" si="5"/>
        <v>1360</v>
      </c>
      <c r="H46" s="61" t="s">
        <v>16</v>
      </c>
      <c r="I46" s="41"/>
      <c r="J46" s="41"/>
      <c r="N46" s="50" t="s">
        <v>203</v>
      </c>
      <c r="O46" s="9" t="s">
        <v>109</v>
      </c>
      <c r="P46" s="65">
        <f>'Prices_non-Labor'!$E$35</f>
        <v>24</v>
      </c>
      <c r="Q46" s="52">
        <f t="shared" ref="Q46:Q49" si="8">$T$33</f>
        <v>3</v>
      </c>
      <c r="R46" s="65">
        <f>$E$35*P33</f>
        <v>40</v>
      </c>
      <c r="S46" s="51">
        <f>Q46*R46</f>
        <v>120</v>
      </c>
      <c r="T46" s="189">
        <f t="shared" si="4"/>
        <v>2880</v>
      </c>
      <c r="U46" s="61" t="s">
        <v>16</v>
      </c>
      <c r="V46" s="54"/>
      <c r="W46" s="54"/>
    </row>
    <row r="47" spans="1:25" x14ac:dyDescent="0.25">
      <c r="A47" s="9" t="s">
        <v>198</v>
      </c>
      <c r="B47" s="9" t="s">
        <v>41</v>
      </c>
      <c r="C47" s="186">
        <f>'Prices_non-Labor'!$E$30</f>
        <v>13.5</v>
      </c>
      <c r="D47" s="52">
        <f>$G$33</f>
        <v>4</v>
      </c>
      <c r="E47" s="105">
        <f>E36*$E$33</f>
        <v>900</v>
      </c>
      <c r="F47" s="51">
        <f t="shared" si="7"/>
        <v>3600</v>
      </c>
      <c r="G47" s="189">
        <f t="shared" si="5"/>
        <v>48600</v>
      </c>
      <c r="H47" s="61" t="s">
        <v>16</v>
      </c>
      <c r="I47" s="41"/>
      <c r="J47" s="41"/>
      <c r="N47" s="9" t="s">
        <v>198</v>
      </c>
      <c r="O47" s="9" t="s">
        <v>109</v>
      </c>
      <c r="P47" s="65">
        <f>'Prices_non-Labor'!$E$29</f>
        <v>6.5</v>
      </c>
      <c r="Q47" s="52">
        <f t="shared" si="8"/>
        <v>3</v>
      </c>
      <c r="R47" s="65">
        <f>$E$36*R33</f>
        <v>900</v>
      </c>
      <c r="S47" s="51">
        <f>Q47*R47</f>
        <v>2700</v>
      </c>
      <c r="T47" s="189">
        <f t="shared" si="4"/>
        <v>17550</v>
      </c>
      <c r="U47" s="61" t="s">
        <v>16</v>
      </c>
      <c r="V47" s="135"/>
      <c r="W47" s="69"/>
      <c r="X47" s="8"/>
      <c r="Y47" s="8"/>
    </row>
    <row r="48" spans="1:25" x14ac:dyDescent="0.25">
      <c r="A48" s="9" t="s">
        <v>204</v>
      </c>
      <c r="B48" s="9" t="s">
        <v>41</v>
      </c>
      <c r="C48" s="186">
        <f>'Prices_non-Labor'!$E$36</f>
        <v>34</v>
      </c>
      <c r="D48" s="9">
        <v>1</v>
      </c>
      <c r="E48" s="45">
        <f>$E$36*C33</f>
        <v>100</v>
      </c>
      <c r="F48" s="65">
        <f>E48*D48</f>
        <v>100</v>
      </c>
      <c r="G48" s="189">
        <f t="shared" si="5"/>
        <v>3400</v>
      </c>
      <c r="H48" s="61" t="s">
        <v>16</v>
      </c>
      <c r="I48" s="41"/>
      <c r="J48" s="41"/>
      <c r="N48" s="9" t="s">
        <v>204</v>
      </c>
      <c r="O48" s="9" t="s">
        <v>109</v>
      </c>
      <c r="P48" s="65">
        <f>'Prices_non-Labor'!$E$35</f>
        <v>24</v>
      </c>
      <c r="Q48" s="52">
        <f t="shared" si="8"/>
        <v>3</v>
      </c>
      <c r="R48" s="45">
        <f>$E$36*P33</f>
        <v>100</v>
      </c>
      <c r="S48" s="65">
        <f>R48*Q48</f>
        <v>300</v>
      </c>
      <c r="T48" s="189">
        <f t="shared" si="4"/>
        <v>7200</v>
      </c>
      <c r="U48" s="61" t="s">
        <v>16</v>
      </c>
      <c r="V48" s="135"/>
      <c r="W48" s="69"/>
      <c r="X48" s="8"/>
      <c r="Y48" s="8"/>
    </row>
    <row r="49" spans="1:26" x14ac:dyDescent="0.25">
      <c r="A49" s="9" t="s">
        <v>199</v>
      </c>
      <c r="B49" s="9" t="s">
        <v>41</v>
      </c>
      <c r="C49" s="186">
        <f>'Prices_non-Labor'!$E$30</f>
        <v>13.5</v>
      </c>
      <c r="D49" s="52">
        <f>$G$33</f>
        <v>4</v>
      </c>
      <c r="E49" s="65">
        <f>$E$37*E33</f>
        <v>9000</v>
      </c>
      <c r="F49" s="51">
        <f>D49*E49</f>
        <v>36000</v>
      </c>
      <c r="G49" s="189">
        <f t="shared" si="5"/>
        <v>486000</v>
      </c>
      <c r="H49" s="61" t="s">
        <v>16</v>
      </c>
      <c r="I49" s="41"/>
      <c r="J49" s="41"/>
      <c r="N49" s="9" t="s">
        <v>39</v>
      </c>
      <c r="O49" s="9" t="s">
        <v>15</v>
      </c>
      <c r="P49" s="185">
        <f>'Prices_non-Labor'!$E$24</f>
        <v>110.00000000000001</v>
      </c>
      <c r="Q49" s="52">
        <f t="shared" si="8"/>
        <v>3</v>
      </c>
      <c r="R49" s="59">
        <v>400</v>
      </c>
      <c r="S49" s="65">
        <f>Q49*R49</f>
        <v>1200</v>
      </c>
      <c r="T49" s="189">
        <f t="shared" si="4"/>
        <v>132000.00000000003</v>
      </c>
      <c r="U49" s="61" t="s">
        <v>16</v>
      </c>
      <c r="V49" s="131"/>
      <c r="W49" s="131"/>
      <c r="X49" s="8"/>
      <c r="Y49" s="8"/>
    </row>
    <row r="50" spans="1:26" x14ac:dyDescent="0.25">
      <c r="A50" s="9" t="s">
        <v>205</v>
      </c>
      <c r="B50" s="9" t="s">
        <v>41</v>
      </c>
      <c r="C50" s="186">
        <f>'Prices_non-Labor'!$E$36</f>
        <v>34</v>
      </c>
      <c r="D50" s="9">
        <v>1</v>
      </c>
      <c r="E50" s="45">
        <f>$E$37*C33</f>
        <v>1000</v>
      </c>
      <c r="F50" s="65">
        <f>E50*D50</f>
        <v>1000</v>
      </c>
      <c r="G50" s="189">
        <f t="shared" si="5"/>
        <v>34000</v>
      </c>
      <c r="H50" s="61" t="s">
        <v>16</v>
      </c>
      <c r="I50" s="41"/>
      <c r="J50" s="41"/>
      <c r="Q50" s="103"/>
      <c r="R50" s="70"/>
      <c r="S50" s="126"/>
      <c r="U50" s="8"/>
      <c r="V50" s="72"/>
      <c r="W50" s="72"/>
      <c r="X50" s="127"/>
      <c r="Y50" s="64"/>
    </row>
    <row r="51" spans="1:26" ht="45" x14ac:dyDescent="0.25">
      <c r="A51" s="9" t="s">
        <v>200</v>
      </c>
      <c r="B51" s="9" t="s">
        <v>41</v>
      </c>
      <c r="C51" s="186">
        <f>'Prices_non-Labor'!$E$30</f>
        <v>13.5</v>
      </c>
      <c r="D51" s="52">
        <f>$G$33</f>
        <v>4</v>
      </c>
      <c r="E51" s="65">
        <f>$E$38*E33</f>
        <v>27000</v>
      </c>
      <c r="F51" s="51">
        <f>D51*E51</f>
        <v>108000</v>
      </c>
      <c r="G51" s="189">
        <f t="shared" si="5"/>
        <v>1458000</v>
      </c>
      <c r="H51" s="61" t="s">
        <v>16</v>
      </c>
      <c r="I51" s="41"/>
      <c r="J51" s="41"/>
      <c r="N51" s="178" t="s">
        <v>1</v>
      </c>
      <c r="O51" s="176" t="s">
        <v>32</v>
      </c>
      <c r="P51" s="176"/>
      <c r="Q51" s="178" t="s">
        <v>1</v>
      </c>
      <c r="R51" s="179"/>
      <c r="S51" s="179"/>
      <c r="T51" s="180" t="s">
        <v>32</v>
      </c>
      <c r="U51" s="178" t="s">
        <v>1</v>
      </c>
      <c r="V51" s="179"/>
      <c r="W51" s="179"/>
      <c r="X51" s="175" t="s">
        <v>32</v>
      </c>
      <c r="Y51" s="332" t="s">
        <v>45</v>
      </c>
    </row>
    <row r="52" spans="1:26" x14ac:dyDescent="0.25">
      <c r="A52" s="9" t="s">
        <v>206</v>
      </c>
      <c r="B52" s="9" t="s">
        <v>41</v>
      </c>
      <c r="C52" s="186">
        <f>'Prices_non-Labor'!$E$36</f>
        <v>34</v>
      </c>
      <c r="D52" s="9">
        <v>1</v>
      </c>
      <c r="E52" s="45">
        <f>$E$38*C33</f>
        <v>3000</v>
      </c>
      <c r="F52" s="51">
        <f>D52*E52</f>
        <v>3000</v>
      </c>
      <c r="G52" s="189">
        <f t="shared" si="5"/>
        <v>102000</v>
      </c>
      <c r="H52" s="61" t="s">
        <v>16</v>
      </c>
      <c r="I52" s="54" t="s">
        <v>1</v>
      </c>
      <c r="J52" s="54"/>
      <c r="N52" s="59" t="s">
        <v>268</v>
      </c>
      <c r="O52" s="186">
        <f>SUM(T37:T49)</f>
        <v>224860.00000000003</v>
      </c>
      <c r="P52" s="79"/>
      <c r="Q52" s="427" t="s">
        <v>269</v>
      </c>
      <c r="R52" s="428"/>
      <c r="S52" s="429"/>
      <c r="T52" s="84">
        <f>O52/'Demographic Data'!$B$3</f>
        <v>22.486000000000004</v>
      </c>
      <c r="U52" s="115" t="s">
        <v>272</v>
      </c>
      <c r="V52" s="116"/>
      <c r="W52" s="117"/>
      <c r="X52" s="71">
        <f>SUMIFS($T$37:$T$49, $O$37:$O$49, "Materials", $U$37:$U$49, "Yes")</f>
        <v>2420</v>
      </c>
      <c r="Y52" s="97">
        <f>X52/$O$52</f>
        <v>1.0762252067953391E-2</v>
      </c>
    </row>
    <row r="53" spans="1:26" x14ac:dyDescent="0.25">
      <c r="A53" s="50" t="s">
        <v>201</v>
      </c>
      <c r="B53" s="9" t="s">
        <v>109</v>
      </c>
      <c r="C53" s="65">
        <f>'Prices_non-Labor'!$E$29</f>
        <v>6.5</v>
      </c>
      <c r="D53" s="52">
        <f t="shared" ref="D53:D61" si="9">$G$33</f>
        <v>4</v>
      </c>
      <c r="E53" s="105">
        <f>$E$35*$E$33</f>
        <v>360</v>
      </c>
      <c r="F53" s="133">
        <f>D53*E53</f>
        <v>1440</v>
      </c>
      <c r="G53" s="189">
        <f t="shared" si="5"/>
        <v>9360</v>
      </c>
      <c r="H53" s="61" t="s">
        <v>16</v>
      </c>
      <c r="I53" s="54"/>
      <c r="J53" s="54"/>
      <c r="N53" s="59"/>
      <c r="O53" s="74"/>
      <c r="P53" s="71"/>
      <c r="Q53" s="427" t="s">
        <v>270</v>
      </c>
      <c r="R53" s="428"/>
      <c r="S53" s="429"/>
      <c r="T53" s="84">
        <f>O52/'Demographic Data'!$B$4</f>
        <v>7.4953333333333347</v>
      </c>
      <c r="U53" s="115" t="s">
        <v>273</v>
      </c>
      <c r="V53" s="116"/>
      <c r="W53" s="117"/>
      <c r="X53" s="71">
        <f>SUMIFS($T$37:$T$49, $O$37:$O$49, "Transportation", $U$37:$U$49, "Yes")</f>
        <v>55790</v>
      </c>
      <c r="Y53" s="97">
        <f>X53/$O$52</f>
        <v>0.24810993507071064</v>
      </c>
    </row>
    <row r="54" spans="1:26" x14ac:dyDescent="0.25">
      <c r="A54" s="50" t="s">
        <v>203</v>
      </c>
      <c r="B54" s="9" t="s">
        <v>109</v>
      </c>
      <c r="C54" s="65">
        <f>'Prices_non-Labor'!$E$35</f>
        <v>24</v>
      </c>
      <c r="D54" s="52">
        <f t="shared" si="9"/>
        <v>4</v>
      </c>
      <c r="E54" s="65">
        <f>$E$35*C33</f>
        <v>40</v>
      </c>
      <c r="F54" s="51">
        <f>D54*E54</f>
        <v>160</v>
      </c>
      <c r="G54" s="189">
        <f t="shared" si="5"/>
        <v>3840</v>
      </c>
      <c r="H54" s="61" t="s">
        <v>16</v>
      </c>
      <c r="I54" s="54"/>
      <c r="J54" s="54"/>
      <c r="N54" s="62"/>
      <c r="O54" s="83"/>
      <c r="P54" s="82"/>
      <c r="Q54" s="427" t="s">
        <v>271</v>
      </c>
      <c r="R54" s="428"/>
      <c r="S54" s="429"/>
      <c r="T54" s="228">
        <f>O52/'Demographic Data'!$B$5</f>
        <v>0.18738333333333335</v>
      </c>
      <c r="U54" s="116" t="s">
        <v>274</v>
      </c>
      <c r="V54" s="116"/>
      <c r="W54" s="117"/>
      <c r="X54" s="71">
        <f>SUMIFS($T$37:$T$49, $O$37:$O$49, "Meals/Per Diem", $U$37:$U$49, "Yes")</f>
        <v>34650</v>
      </c>
      <c r="Y54" s="97">
        <f>X54/$O$52</f>
        <v>0.15409588188205992</v>
      </c>
    </row>
    <row r="55" spans="1:26" s="8" customFormat="1" x14ac:dyDescent="0.25">
      <c r="A55" s="9" t="s">
        <v>198</v>
      </c>
      <c r="B55" s="9" t="s">
        <v>109</v>
      </c>
      <c r="C55" s="65">
        <f>'Prices_non-Labor'!$E$29</f>
        <v>6.5</v>
      </c>
      <c r="D55" s="52">
        <f t="shared" si="9"/>
        <v>4</v>
      </c>
      <c r="E55" s="65">
        <f>$E$36*E33</f>
        <v>900</v>
      </c>
      <c r="F55" s="51">
        <f>D55*E55</f>
        <v>3600</v>
      </c>
      <c r="G55" s="189">
        <f t="shared" si="5"/>
        <v>23400</v>
      </c>
      <c r="H55" s="61" t="s">
        <v>16</v>
      </c>
      <c r="I55" s="135"/>
      <c r="J55" s="69"/>
      <c r="M55" s="7"/>
      <c r="N55" s="48"/>
      <c r="O55" s="48"/>
      <c r="P55" s="48"/>
      <c r="Q55" s="430"/>
      <c r="R55" s="430"/>
      <c r="S55" s="430"/>
      <c r="T55" s="193"/>
      <c r="U55" s="59" t="s">
        <v>275</v>
      </c>
      <c r="V55" s="59"/>
      <c r="W55" s="59"/>
      <c r="X55" s="71">
        <f>SUMIFS($T$37:$T$49, $O$37:$O$49, "Facilities", $U$37:$U$49, "Yes")</f>
        <v>132000.00000000003</v>
      </c>
      <c r="Y55" s="97">
        <f>X55/$O$52</f>
        <v>0.58703193097927608</v>
      </c>
      <c r="Z55"/>
    </row>
    <row r="56" spans="1:26" s="8" customFormat="1" x14ac:dyDescent="0.25">
      <c r="A56" s="9" t="s">
        <v>204</v>
      </c>
      <c r="B56" s="9" t="s">
        <v>109</v>
      </c>
      <c r="C56" s="65">
        <f>'Prices_non-Labor'!$E$35</f>
        <v>24</v>
      </c>
      <c r="D56" s="52">
        <f t="shared" si="9"/>
        <v>4</v>
      </c>
      <c r="E56" s="45">
        <f>$E$36*C33</f>
        <v>100</v>
      </c>
      <c r="F56" s="65">
        <f>E56*D56</f>
        <v>400</v>
      </c>
      <c r="G56" s="189">
        <f t="shared" si="5"/>
        <v>9600</v>
      </c>
      <c r="H56" s="61" t="s">
        <v>16</v>
      </c>
      <c r="I56" s="135"/>
      <c r="J56" s="69"/>
      <c r="M56" s="7"/>
      <c r="P56" s="48"/>
      <c r="V56" s="431"/>
      <c r="W56" s="432"/>
      <c r="X56" s="432"/>
      <c r="Y56" s="67">
        <f>SUM(Y52:Y55)</f>
        <v>1</v>
      </c>
      <c r="Z56"/>
    </row>
    <row r="57" spans="1:26" s="8" customFormat="1" x14ac:dyDescent="0.25">
      <c r="A57" s="9" t="s">
        <v>199</v>
      </c>
      <c r="B57" s="9" t="s">
        <v>109</v>
      </c>
      <c r="C57" s="65">
        <f>'Prices_non-Labor'!$E$29</f>
        <v>6.5</v>
      </c>
      <c r="D57" s="52">
        <f t="shared" si="9"/>
        <v>4</v>
      </c>
      <c r="E57" s="65">
        <f>$E$37*E33</f>
        <v>9000</v>
      </c>
      <c r="F57" s="51">
        <f>D57*E57</f>
        <v>36000</v>
      </c>
      <c r="G57" s="189">
        <f t="shared" si="5"/>
        <v>234000</v>
      </c>
      <c r="H57" s="61" t="s">
        <v>16</v>
      </c>
      <c r="I57" s="135"/>
      <c r="J57" s="69"/>
      <c r="M57" s="7"/>
      <c r="N57"/>
      <c r="O57"/>
      <c r="P57"/>
      <c r="Q57"/>
      <c r="R57"/>
      <c r="S57"/>
      <c r="T57"/>
      <c r="U57"/>
      <c r="V57"/>
      <c r="W57"/>
      <c r="X57"/>
      <c r="Y57"/>
      <c r="Z57"/>
    </row>
    <row r="58" spans="1:26" s="8" customFormat="1" ht="60" x14ac:dyDescent="0.25">
      <c r="A58" s="9" t="s">
        <v>219</v>
      </c>
      <c r="B58" s="9" t="s">
        <v>109</v>
      </c>
      <c r="C58" s="65">
        <f>'Prices_non-Labor'!$E$35</f>
        <v>24</v>
      </c>
      <c r="D58" s="52">
        <f t="shared" si="9"/>
        <v>4</v>
      </c>
      <c r="E58" s="45">
        <f>$E$37*C33</f>
        <v>1000</v>
      </c>
      <c r="F58" s="65">
        <f>E58*D58</f>
        <v>4000</v>
      </c>
      <c r="G58" s="189">
        <f t="shared" si="5"/>
        <v>96000</v>
      </c>
      <c r="H58" s="61" t="s">
        <v>16</v>
      </c>
      <c r="I58" s="135"/>
      <c r="J58" s="69"/>
      <c r="M58" s="7"/>
      <c r="N58" s="161" t="s">
        <v>288</v>
      </c>
      <c r="O58" s="144" t="s">
        <v>0</v>
      </c>
      <c r="P58" s="143" t="s">
        <v>44</v>
      </c>
      <c r="Q58" s="143" t="s">
        <v>25</v>
      </c>
      <c r="R58" s="143" t="s">
        <v>20</v>
      </c>
      <c r="S58" s="143" t="s">
        <v>21</v>
      </c>
      <c r="T58" s="143" t="s">
        <v>114</v>
      </c>
      <c r="U58" s="143" t="s">
        <v>17</v>
      </c>
      <c r="V58" s="320"/>
      <c r="W58" s="320"/>
      <c r="X58" s="320"/>
      <c r="Y58" s="321"/>
      <c r="Z58"/>
    </row>
    <row r="59" spans="1:26" s="8" customFormat="1" x14ac:dyDescent="0.25">
      <c r="A59" s="9" t="s">
        <v>202</v>
      </c>
      <c r="B59" s="9" t="s">
        <v>109</v>
      </c>
      <c r="C59" s="65">
        <f>'Prices_non-Labor'!$E$29</f>
        <v>6.5</v>
      </c>
      <c r="D59" s="52">
        <f t="shared" si="9"/>
        <v>4</v>
      </c>
      <c r="E59" s="65">
        <f>$E$38*E33</f>
        <v>27000</v>
      </c>
      <c r="F59" s="51">
        <f>D59*E59</f>
        <v>108000</v>
      </c>
      <c r="G59" s="189">
        <f t="shared" si="5"/>
        <v>702000</v>
      </c>
      <c r="H59" s="61" t="s">
        <v>16</v>
      </c>
      <c r="I59" s="135"/>
      <c r="J59" s="69"/>
      <c r="M59" s="7"/>
      <c r="N59" s="9" t="s">
        <v>85</v>
      </c>
      <c r="O59" s="9" t="s">
        <v>2</v>
      </c>
      <c r="P59" s="9"/>
      <c r="Q59" s="52">
        <f>$X$3</f>
        <v>9</v>
      </c>
      <c r="R59" s="65">
        <f>'Demographic Data'!$B$3</f>
        <v>10000</v>
      </c>
      <c r="S59" s="51">
        <f>R59*Q59</f>
        <v>90000</v>
      </c>
      <c r="T59" s="322"/>
      <c r="U59" s="61" t="s">
        <v>18</v>
      </c>
      <c r="V59" s="322"/>
      <c r="W59" s="45"/>
      <c r="X59" s="45"/>
      <c r="Y59" s="61"/>
      <c r="Z59"/>
    </row>
    <row r="60" spans="1:26" s="8" customFormat="1" x14ac:dyDescent="0.25">
      <c r="A60" s="9" t="s">
        <v>207</v>
      </c>
      <c r="B60" s="9" t="s">
        <v>109</v>
      </c>
      <c r="C60" s="65">
        <f>'Prices_non-Labor'!$E$35</f>
        <v>24</v>
      </c>
      <c r="D60" s="52">
        <f t="shared" si="9"/>
        <v>4</v>
      </c>
      <c r="E60" s="45">
        <f>$E$38*C33</f>
        <v>3000</v>
      </c>
      <c r="F60" s="51">
        <f>D60*E60</f>
        <v>12000</v>
      </c>
      <c r="G60" s="189">
        <f t="shared" si="5"/>
        <v>288000</v>
      </c>
      <c r="H60" s="61" t="s">
        <v>16</v>
      </c>
      <c r="I60" s="131"/>
      <c r="J60" s="131"/>
      <c r="M60" s="7"/>
      <c r="N60" s="9" t="s">
        <v>85</v>
      </c>
      <c r="O60" s="9" t="s">
        <v>41</v>
      </c>
      <c r="P60" s="195">
        <f>'Prices_non-Labor'!$E$46</f>
        <v>10.884353741496598</v>
      </c>
      <c r="Q60" s="52">
        <f t="shared" ref="Q60:Q62" si="10">$X$3</f>
        <v>9</v>
      </c>
      <c r="R60" s="65">
        <f>'Demographic Data'!$B$3</f>
        <v>10000</v>
      </c>
      <c r="S60" s="51">
        <f>Q60*R60/3</f>
        <v>30000</v>
      </c>
      <c r="T60" s="322">
        <f>SUM(S60*P60)</f>
        <v>326530.61224489793</v>
      </c>
      <c r="U60" s="61" t="s">
        <v>16</v>
      </c>
      <c r="V60" s="322"/>
      <c r="W60" s="45"/>
      <c r="X60" s="45"/>
      <c r="Y60" s="61"/>
      <c r="Z60"/>
    </row>
    <row r="61" spans="1:26" s="8" customFormat="1" x14ac:dyDescent="0.25">
      <c r="A61" s="9" t="s">
        <v>39</v>
      </c>
      <c r="B61" s="9" t="s">
        <v>15</v>
      </c>
      <c r="C61" s="65">
        <f>'Prices_non-Labor'!E24</f>
        <v>110.00000000000001</v>
      </c>
      <c r="D61" s="52">
        <f t="shared" si="9"/>
        <v>4</v>
      </c>
      <c r="E61" s="59">
        <v>700</v>
      </c>
      <c r="F61" s="65">
        <f>D61*E61</f>
        <v>2800</v>
      </c>
      <c r="G61" s="189">
        <f t="shared" si="5"/>
        <v>308000.00000000006</v>
      </c>
      <c r="H61" s="61" t="s">
        <v>16</v>
      </c>
      <c r="I61" s="131"/>
      <c r="J61" s="131"/>
      <c r="M61" s="7"/>
      <c r="N61" s="9" t="s">
        <v>85</v>
      </c>
      <c r="O61" s="9" t="s">
        <v>356</v>
      </c>
      <c r="P61" s="9">
        <f>'Prices_non-Labor'!$E$45</f>
        <v>6.8</v>
      </c>
      <c r="Q61" s="52">
        <f t="shared" si="10"/>
        <v>9</v>
      </c>
      <c r="R61" s="65">
        <f>'Demographic Data'!$B$3</f>
        <v>10000</v>
      </c>
      <c r="S61" s="51">
        <f>Q61*R61/3</f>
        <v>30000</v>
      </c>
      <c r="T61" s="322">
        <f t="shared" ref="T61:T62" si="11">SUM(S61*P61)</f>
        <v>204000</v>
      </c>
      <c r="U61" s="61" t="s">
        <v>16</v>
      </c>
      <c r="V61" s="322"/>
      <c r="W61" s="45"/>
      <c r="X61" s="45"/>
      <c r="Y61" s="61"/>
      <c r="Z61"/>
    </row>
    <row r="62" spans="1:26" s="8" customFormat="1" x14ac:dyDescent="0.25">
      <c r="A62"/>
      <c r="B62"/>
      <c r="C62"/>
      <c r="D62" s="103"/>
      <c r="E62" s="70"/>
      <c r="F62" s="126"/>
      <c r="G62"/>
      <c r="I62" s="72"/>
      <c r="J62" s="72"/>
      <c r="K62" s="127"/>
      <c r="L62" s="64"/>
      <c r="M62" s="282"/>
      <c r="N62" s="9" t="s">
        <v>85</v>
      </c>
      <c r="O62" s="9" t="s">
        <v>3</v>
      </c>
      <c r="P62" s="43">
        <f>'Prices_non-Labor'!$E$47</f>
        <v>0.3</v>
      </c>
      <c r="Q62" s="52">
        <f t="shared" si="10"/>
        <v>9</v>
      </c>
      <c r="R62" s="65">
        <f>'Demographic Data'!$B$3</f>
        <v>10000</v>
      </c>
      <c r="S62" s="51">
        <f>SUM(Q62*R62)*2</f>
        <v>180000</v>
      </c>
      <c r="T62" s="322">
        <f t="shared" si="11"/>
        <v>54000</v>
      </c>
      <c r="U62" s="61" t="s">
        <v>16</v>
      </c>
      <c r="V62" s="51"/>
      <c r="W62" s="51"/>
      <c r="X62" s="51"/>
      <c r="Y62" s="61"/>
    </row>
    <row r="63" spans="1:26" s="8" customFormat="1" x14ac:dyDescent="0.25">
      <c r="A63" s="178" t="s">
        <v>1</v>
      </c>
      <c r="B63" s="176" t="s">
        <v>32</v>
      </c>
      <c r="C63" s="176"/>
      <c r="D63" s="178" t="s">
        <v>1</v>
      </c>
      <c r="E63" s="179"/>
      <c r="F63" s="179"/>
      <c r="G63" s="180" t="s">
        <v>32</v>
      </c>
      <c r="H63" s="178" t="s">
        <v>1</v>
      </c>
      <c r="I63" s="179"/>
      <c r="J63" s="179"/>
      <c r="K63" s="175" t="s">
        <v>32</v>
      </c>
      <c r="L63" s="177" t="s">
        <v>45</v>
      </c>
      <c r="M63" s="7"/>
      <c r="N63"/>
      <c r="O63"/>
      <c r="P63"/>
      <c r="Q63"/>
      <c r="R63" s="70"/>
      <c r="S63" s="72"/>
      <c r="T63" s="323"/>
      <c r="U63" s="323"/>
      <c r="V63" s="323"/>
      <c r="W63" s="205"/>
      <c r="X63" s="205"/>
      <c r="Y63" s="64"/>
    </row>
    <row r="64" spans="1:26" s="8" customFormat="1" x14ac:dyDescent="0.25">
      <c r="A64" s="59" t="s">
        <v>62</v>
      </c>
      <c r="B64" s="186">
        <f>SUM(G39:G61)</f>
        <v>3868720</v>
      </c>
      <c r="C64" s="79"/>
      <c r="D64" s="427" t="s">
        <v>63</v>
      </c>
      <c r="E64" s="428"/>
      <c r="F64" s="429"/>
      <c r="G64" s="84">
        <f>B64/'Demographic Data'!$B$3</f>
        <v>386.87200000000001</v>
      </c>
      <c r="H64" s="115" t="s">
        <v>65</v>
      </c>
      <c r="I64" s="116"/>
      <c r="J64" s="117"/>
      <c r="K64" s="71">
        <f>SUMIFS($G$39:$G$61, $B$39:$B$61, "Materials", $H$39:$H$61, "Yes")</f>
        <v>41720</v>
      </c>
      <c r="L64" s="97">
        <f>K64/$B$64</f>
        <v>1.0783928534502368E-2</v>
      </c>
      <c r="M64" s="7"/>
      <c r="N64" s="112" t="s">
        <v>255</v>
      </c>
      <c r="O64" s="176" t="s">
        <v>32</v>
      </c>
      <c r="P64" s="176"/>
      <c r="Q64" s="178" t="s">
        <v>1</v>
      </c>
      <c r="R64" s="179"/>
      <c r="S64" s="179"/>
      <c r="T64" s="180" t="s">
        <v>32</v>
      </c>
      <c r="U64" s="178" t="s">
        <v>1</v>
      </c>
      <c r="V64" s="179"/>
      <c r="W64" s="179"/>
      <c r="X64" s="175" t="s">
        <v>32</v>
      </c>
      <c r="Y64" s="177" t="s">
        <v>45</v>
      </c>
      <c r="Z64" s="55"/>
    </row>
    <row r="65" spans="1:26" s="8" customFormat="1" x14ac:dyDescent="0.25">
      <c r="A65" s="59"/>
      <c r="B65" s="74"/>
      <c r="C65" s="71"/>
      <c r="D65" s="427" t="s">
        <v>64</v>
      </c>
      <c r="E65" s="428"/>
      <c r="F65" s="429"/>
      <c r="G65" s="84">
        <f>B64/'Demographic Data'!$B$4</f>
        <v>128.95733333333334</v>
      </c>
      <c r="H65" s="115" t="s">
        <v>66</v>
      </c>
      <c r="I65" s="116"/>
      <c r="J65" s="117"/>
      <c r="K65" s="71">
        <f>SUMIFS($G$39:$G$61, $B$39:$B$61, "Transportation", $H$39:$H$61, "Yes")</f>
        <v>2152800</v>
      </c>
      <c r="L65" s="97">
        <f>K65/$B$64</f>
        <v>0.55646311958477224</v>
      </c>
      <c r="M65" s="7"/>
      <c r="N65" s="59" t="s">
        <v>297</v>
      </c>
      <c r="O65" s="65">
        <f>SUM(T60:T62)</f>
        <v>584530.61224489799</v>
      </c>
      <c r="P65" s="71"/>
      <c r="Q65" s="433" t="s">
        <v>299</v>
      </c>
      <c r="R65" s="433"/>
      <c r="S65" s="433"/>
      <c r="T65" s="84">
        <f>O65/'Demographic Data'!$B$3</f>
        <v>58.453061224489801</v>
      </c>
      <c r="U65" s="71"/>
      <c r="V65" s="115" t="s">
        <v>294</v>
      </c>
      <c r="W65" s="116"/>
      <c r="X65" s="71">
        <f>SUMIFS($T$59:$T$62, $O$59:$O$62, "Materials", $U$59:$U$62, "Yes")</f>
        <v>54000</v>
      </c>
      <c r="Y65" s="97">
        <f>X65/$O$65</f>
        <v>9.23818169122268E-2</v>
      </c>
      <c r="Z65" s="97"/>
    </row>
    <row r="66" spans="1:26" s="8" customFormat="1" ht="15" customHeight="1" x14ac:dyDescent="0.25">
      <c r="A66" s="62"/>
      <c r="B66" s="83"/>
      <c r="C66" s="82"/>
      <c r="D66" s="448" t="s">
        <v>60</v>
      </c>
      <c r="E66" s="449"/>
      <c r="F66" s="450"/>
      <c r="G66" s="228">
        <f>B64/'Demographic Data'!$B$5</f>
        <v>3.2239333333333335</v>
      </c>
      <c r="H66" s="116" t="s">
        <v>126</v>
      </c>
      <c r="I66" s="116"/>
      <c r="J66" s="117"/>
      <c r="K66" s="71">
        <f>SUMIFS($G$39:$G$61, $B$39:$B$61, "Meals/Per Diem", $H$39:$H$61, "Yes")</f>
        <v>1366200</v>
      </c>
      <c r="L66" s="97">
        <f>K66/$B$64</f>
        <v>0.35314005665956699</v>
      </c>
      <c r="M66" s="7"/>
      <c r="N66" s="59"/>
      <c r="O66" s="86"/>
      <c r="P66" s="71"/>
      <c r="Q66" s="433" t="s">
        <v>298</v>
      </c>
      <c r="R66" s="433"/>
      <c r="S66" s="433"/>
      <c r="T66" s="84">
        <f>O65/'Demographic Data'!$B$4</f>
        <v>19.484353741496598</v>
      </c>
      <c r="U66" s="71"/>
      <c r="V66" s="116" t="s">
        <v>295</v>
      </c>
      <c r="W66" s="116"/>
      <c r="X66" s="71">
        <f>SUMIFS($T$59:$T$62, $O$59:$O$62, "Transportation", $U$59:$U$62, "Yes")</f>
        <v>326530.61224489793</v>
      </c>
      <c r="Y66" s="97">
        <f>X66/$O$65</f>
        <v>0.55862020808602741</v>
      </c>
      <c r="Z66" s="97"/>
    </row>
    <row r="67" spans="1:26" s="8" customFormat="1" x14ac:dyDescent="0.25">
      <c r="A67" s="48"/>
      <c r="B67" s="48"/>
      <c r="C67" s="48"/>
      <c r="D67" s="430"/>
      <c r="E67" s="430"/>
      <c r="F67" s="430"/>
      <c r="G67" s="193"/>
      <c r="H67" s="59" t="s">
        <v>67</v>
      </c>
      <c r="I67" s="59"/>
      <c r="J67" s="59"/>
      <c r="K67" s="71">
        <f>SUMIFS($G$39:$G$61, $B$39:$B$61, "Facilities", $H$39:$H$61, "Yes")</f>
        <v>308000.00000000006</v>
      </c>
      <c r="L67" s="97">
        <f>K67/$B$64</f>
        <v>7.9612895221158428E-2</v>
      </c>
      <c r="M67" s="284"/>
      <c r="N67" s="62"/>
      <c r="O67" s="83"/>
      <c r="P67" s="71"/>
      <c r="Q67" s="426" t="s">
        <v>300</v>
      </c>
      <c r="R67" s="426"/>
      <c r="S67" s="426"/>
      <c r="T67" s="228">
        <f>O65/'Demographic Data'!$B$5</f>
        <v>0.48710884353741501</v>
      </c>
      <c r="U67" s="324"/>
      <c r="V67" s="59" t="s">
        <v>296</v>
      </c>
      <c r="W67" s="59"/>
      <c r="X67" s="71">
        <f>SUMIFS($T$59:$T$62, $O$59:$O$62, "Meals/per diem", $U$59:$U$62, "Yes")</f>
        <v>204000</v>
      </c>
      <c r="Y67" s="97">
        <f>X67/$O$65</f>
        <v>0.34899797500174567</v>
      </c>
      <c r="Z67" s="97"/>
    </row>
    <row r="68" spans="1:26" s="8" customFormat="1" x14ac:dyDescent="0.25">
      <c r="C68" s="48"/>
      <c r="I68" s="431"/>
      <c r="J68" s="432"/>
      <c r="K68" s="432"/>
      <c r="L68" s="67">
        <f>SUM(L64:L67)</f>
        <v>1</v>
      </c>
      <c r="M68" s="285"/>
      <c r="O68" s="48"/>
      <c r="T68" s="102"/>
      <c r="U68" s="325"/>
      <c r="V68" s="59"/>
      <c r="W68" s="59"/>
      <c r="X68" s="71"/>
      <c r="Y68" s="97">
        <f>SUM(Y65:Y67)</f>
        <v>0.99999999999999989</v>
      </c>
      <c r="Z68" s="67"/>
    </row>
    <row r="69" spans="1:26" s="8" customFormat="1" x14ac:dyDescent="0.25">
      <c r="C69" s="48"/>
      <c r="I69" s="194"/>
      <c r="L69" s="67"/>
      <c r="M69" s="285"/>
      <c r="N69" s="70"/>
    </row>
    <row r="70" spans="1:26" s="8" customFormat="1" x14ac:dyDescent="0.25">
      <c r="C70" s="48"/>
      <c r="I70" s="194"/>
      <c r="L70" s="67"/>
      <c r="M70" s="285"/>
      <c r="N70" s="70"/>
    </row>
    <row r="71" spans="1:26" s="8" customFormat="1" x14ac:dyDescent="0.25">
      <c r="A71" s="340" t="s">
        <v>192</v>
      </c>
      <c r="B71" s="10" t="s">
        <v>217</v>
      </c>
      <c r="C71" s="10">
        <v>0.1</v>
      </c>
      <c r="D71" s="10" t="s">
        <v>218</v>
      </c>
      <c r="E71" s="277">
        <v>0.9</v>
      </c>
      <c r="F71" s="10" t="s">
        <v>74</v>
      </c>
      <c r="G71" s="362">
        <f>$G$5</f>
        <v>3</v>
      </c>
      <c r="L71" s="67"/>
      <c r="M71" s="285"/>
      <c r="N71" s="70"/>
    </row>
    <row r="72" spans="1:26" s="8" customFormat="1" ht="30" x14ac:dyDescent="0.25">
      <c r="A72" s="142" t="s">
        <v>1</v>
      </c>
      <c r="B72" s="144" t="s">
        <v>0</v>
      </c>
      <c r="C72" s="143" t="s">
        <v>44</v>
      </c>
      <c r="D72" s="143" t="s">
        <v>25</v>
      </c>
      <c r="E72" s="143" t="s">
        <v>20</v>
      </c>
      <c r="F72" s="143" t="s">
        <v>21</v>
      </c>
      <c r="G72" s="143" t="s">
        <v>114</v>
      </c>
      <c r="H72" s="143" t="s">
        <v>17</v>
      </c>
      <c r="I72" s="41"/>
      <c r="J72" s="48"/>
      <c r="K72"/>
      <c r="L72"/>
      <c r="M72" s="271"/>
      <c r="N72" s="70"/>
    </row>
    <row r="73" spans="1:26" s="8" customFormat="1" x14ac:dyDescent="0.25">
      <c r="A73" s="128" t="s">
        <v>84</v>
      </c>
      <c r="B73" s="129"/>
      <c r="C73" s="130"/>
      <c r="D73" s="129">
        <f>$G$71</f>
        <v>3</v>
      </c>
      <c r="E73" s="190">
        <v>400</v>
      </c>
      <c r="F73" s="130">
        <f>D73*E73</f>
        <v>1200</v>
      </c>
      <c r="G73" s="187"/>
      <c r="H73" s="188" t="s">
        <v>18</v>
      </c>
      <c r="I73"/>
      <c r="J73"/>
      <c r="K73"/>
      <c r="L73"/>
      <c r="M73" s="271"/>
      <c r="N73" s="70"/>
    </row>
    <row r="74" spans="1:26" s="8" customFormat="1" x14ac:dyDescent="0.25">
      <c r="A74" s="129" t="s">
        <v>19</v>
      </c>
      <c r="B74" s="129"/>
      <c r="C74" s="130"/>
      <c r="D74" s="129">
        <f>$G$71</f>
        <v>3</v>
      </c>
      <c r="E74" s="130">
        <f>'Demographic Data'!B4</f>
        <v>30000</v>
      </c>
      <c r="F74" s="130">
        <f>D74*E74</f>
        <v>90000</v>
      </c>
      <c r="G74" s="187"/>
      <c r="H74" s="188" t="s">
        <v>18</v>
      </c>
      <c r="I74" s="41"/>
      <c r="J74" s="41"/>
      <c r="K74"/>
      <c r="L74"/>
      <c r="M74" s="271"/>
      <c r="N74" s="70"/>
    </row>
    <row r="75" spans="1:26" s="8" customFormat="1" x14ac:dyDescent="0.25">
      <c r="A75" s="50" t="s">
        <v>26</v>
      </c>
      <c r="B75" s="9" t="s">
        <v>3</v>
      </c>
      <c r="C75" s="185">
        <f>'Prices_non-Labor'!$E$12</f>
        <v>1.2</v>
      </c>
      <c r="D75" s="53">
        <v>0.1</v>
      </c>
      <c r="E75" s="51">
        <f>SUM(E73:E74)</f>
        <v>30400</v>
      </c>
      <c r="F75" s="51">
        <f>E75*D75</f>
        <v>3040</v>
      </c>
      <c r="G75" s="189">
        <f t="shared" ref="G75:G87" si="12">F75*C75</f>
        <v>3648</v>
      </c>
      <c r="H75" s="61" t="s">
        <v>16</v>
      </c>
      <c r="I75" s="137"/>
      <c r="J75" s="41"/>
      <c r="K75"/>
      <c r="L75"/>
      <c r="M75" s="285"/>
      <c r="N75" s="70"/>
    </row>
    <row r="76" spans="1:26" s="8" customFormat="1" x14ac:dyDescent="0.25">
      <c r="A76" s="50" t="s">
        <v>79</v>
      </c>
      <c r="B76" s="9" t="s">
        <v>3</v>
      </c>
      <c r="C76" s="185">
        <f>'Prices_non-Labor'!$E$13</f>
        <v>1</v>
      </c>
      <c r="D76" s="53">
        <v>0.1</v>
      </c>
      <c r="E76" s="51">
        <f>SUM(E73:E74)</f>
        <v>30400</v>
      </c>
      <c r="F76" s="51">
        <f>E76*D76</f>
        <v>3040</v>
      </c>
      <c r="G76" s="189">
        <f t="shared" si="12"/>
        <v>3040</v>
      </c>
      <c r="H76" s="61" t="s">
        <v>16</v>
      </c>
      <c r="I76" s="137"/>
      <c r="J76" s="41"/>
      <c r="K76"/>
      <c r="L76"/>
      <c r="M76" s="285"/>
      <c r="N76" s="70"/>
    </row>
    <row r="77" spans="1:26" s="8" customFormat="1" x14ac:dyDescent="0.25">
      <c r="A77" s="50" t="s">
        <v>83</v>
      </c>
      <c r="B77" s="9" t="s">
        <v>3</v>
      </c>
      <c r="C77" s="185">
        <f>'Prices_non-Labor'!$E$11</f>
        <v>1</v>
      </c>
      <c r="D77" s="9">
        <v>1</v>
      </c>
      <c r="E77" s="65">
        <f>$E$35</f>
        <v>400</v>
      </c>
      <c r="F77" s="51">
        <f t="shared" ref="F77:F87" si="13">D77*E77</f>
        <v>400</v>
      </c>
      <c r="G77" s="189">
        <f t="shared" si="12"/>
        <v>400</v>
      </c>
      <c r="H77" s="61" t="s">
        <v>16</v>
      </c>
      <c r="I77" s="41"/>
      <c r="J77" s="41"/>
      <c r="K77"/>
      <c r="L77"/>
      <c r="M77" s="285"/>
      <c r="N77" s="70"/>
    </row>
    <row r="78" spans="1:26" s="8" customFormat="1" x14ac:dyDescent="0.25">
      <c r="A78" s="9" t="s">
        <v>27</v>
      </c>
      <c r="B78" s="9" t="s">
        <v>3</v>
      </c>
      <c r="C78" s="185">
        <f>'Prices_non-Labor'!$E$11</f>
        <v>1</v>
      </c>
      <c r="D78" s="195">
        <v>0.2</v>
      </c>
      <c r="E78" s="65">
        <f>$E$38</f>
        <v>30000</v>
      </c>
      <c r="F78" s="51">
        <f t="shared" si="13"/>
        <v>6000</v>
      </c>
      <c r="G78" s="189">
        <f t="shared" si="12"/>
        <v>6000</v>
      </c>
      <c r="H78" s="61" t="s">
        <v>16</v>
      </c>
      <c r="I78" s="41"/>
      <c r="J78" s="41"/>
      <c r="K78"/>
      <c r="L78"/>
      <c r="M78" s="285"/>
      <c r="N78" s="70"/>
    </row>
    <row r="79" spans="1:26" s="8" customFormat="1" x14ac:dyDescent="0.25">
      <c r="A79" s="50" t="s">
        <v>201</v>
      </c>
      <c r="B79" s="9" t="s">
        <v>41</v>
      </c>
      <c r="C79" s="186">
        <f>'Prices_non-Labor'!$E$30</f>
        <v>13.5</v>
      </c>
      <c r="D79" s="52">
        <f>$G$71</f>
        <v>3</v>
      </c>
      <c r="E79" s="105">
        <f>E73*E71</f>
        <v>360</v>
      </c>
      <c r="F79" s="133">
        <f t="shared" si="13"/>
        <v>1080</v>
      </c>
      <c r="G79" s="189">
        <f t="shared" si="12"/>
        <v>14580</v>
      </c>
      <c r="H79" s="61" t="s">
        <v>16</v>
      </c>
      <c r="I79" s="41"/>
      <c r="J79" s="41"/>
      <c r="K79"/>
      <c r="L79"/>
      <c r="M79" s="285"/>
      <c r="N79" s="70"/>
    </row>
    <row r="80" spans="1:26" s="8" customFormat="1" x14ac:dyDescent="0.25">
      <c r="A80" s="50" t="s">
        <v>203</v>
      </c>
      <c r="B80" s="9" t="s">
        <v>41</v>
      </c>
      <c r="C80" s="186">
        <f>'Prices_non-Labor'!$E$36</f>
        <v>34</v>
      </c>
      <c r="D80" s="9">
        <v>1</v>
      </c>
      <c r="E80" s="65">
        <f>$E$35*C71</f>
        <v>40</v>
      </c>
      <c r="F80" s="51">
        <f t="shared" si="13"/>
        <v>40</v>
      </c>
      <c r="G80" s="189">
        <f t="shared" si="12"/>
        <v>1360</v>
      </c>
      <c r="H80" s="61" t="s">
        <v>16</v>
      </c>
      <c r="I80" s="41"/>
      <c r="J80" s="41"/>
      <c r="K80"/>
      <c r="L80"/>
      <c r="M80" s="285"/>
      <c r="N80" s="70"/>
    </row>
    <row r="81" spans="1:14" s="8" customFormat="1" x14ac:dyDescent="0.25">
      <c r="A81" s="9" t="s">
        <v>200</v>
      </c>
      <c r="B81" s="9" t="s">
        <v>41</v>
      </c>
      <c r="C81" s="186">
        <f>'Prices_non-Labor'!$E$30</f>
        <v>13.5</v>
      </c>
      <c r="D81" s="52">
        <f>$G$71</f>
        <v>3</v>
      </c>
      <c r="E81" s="65">
        <f>$E$38*E71</f>
        <v>27000</v>
      </c>
      <c r="F81" s="51">
        <f t="shared" si="13"/>
        <v>81000</v>
      </c>
      <c r="G81" s="189">
        <f t="shared" si="12"/>
        <v>1093500</v>
      </c>
      <c r="H81" s="61" t="s">
        <v>16</v>
      </c>
      <c r="I81" s="41"/>
      <c r="J81" s="41"/>
      <c r="K81"/>
      <c r="L81"/>
      <c r="M81" s="285"/>
      <c r="N81" s="70"/>
    </row>
    <row r="82" spans="1:14" s="8" customFormat="1" x14ac:dyDescent="0.25">
      <c r="A82" s="9" t="s">
        <v>206</v>
      </c>
      <c r="B82" s="9" t="s">
        <v>41</v>
      </c>
      <c r="C82" s="186">
        <f>'Prices_non-Labor'!$E$36</f>
        <v>34</v>
      </c>
      <c r="D82" s="9">
        <v>1</v>
      </c>
      <c r="E82" s="45">
        <f>$E$38*C71</f>
        <v>3000</v>
      </c>
      <c r="F82" s="51">
        <f t="shared" si="13"/>
        <v>3000</v>
      </c>
      <c r="G82" s="189">
        <f t="shared" si="12"/>
        <v>102000</v>
      </c>
      <c r="H82" s="61" t="s">
        <v>16</v>
      </c>
      <c r="I82" s="54" t="s">
        <v>1</v>
      </c>
      <c r="J82" s="54"/>
      <c r="K82"/>
      <c r="L82"/>
      <c r="M82" s="285"/>
      <c r="N82" s="70"/>
    </row>
    <row r="83" spans="1:14" s="8" customFormat="1" x14ac:dyDescent="0.25">
      <c r="A83" s="50" t="s">
        <v>201</v>
      </c>
      <c r="B83" s="9" t="s">
        <v>109</v>
      </c>
      <c r="C83" s="65">
        <f>'Prices_non-Labor'!$E$29</f>
        <v>6.5</v>
      </c>
      <c r="D83" s="52">
        <f>$G$71</f>
        <v>3</v>
      </c>
      <c r="E83" s="105">
        <f>$E$35*E71</f>
        <v>360</v>
      </c>
      <c r="F83" s="133">
        <f t="shared" si="13"/>
        <v>1080</v>
      </c>
      <c r="G83" s="189">
        <f t="shared" si="12"/>
        <v>7020</v>
      </c>
      <c r="H83" s="61" t="s">
        <v>16</v>
      </c>
      <c r="I83" s="54"/>
      <c r="J83" s="54"/>
      <c r="K83"/>
      <c r="L83"/>
      <c r="M83" s="285"/>
      <c r="N83" s="70"/>
    </row>
    <row r="84" spans="1:14" s="8" customFormat="1" x14ac:dyDescent="0.25">
      <c r="A84" s="50" t="s">
        <v>203</v>
      </c>
      <c r="B84" s="9" t="s">
        <v>109</v>
      </c>
      <c r="C84" s="65">
        <f>'Prices_non-Labor'!$E$35</f>
        <v>24</v>
      </c>
      <c r="D84" s="52">
        <f>$G$71</f>
        <v>3</v>
      </c>
      <c r="E84" s="65">
        <f>$E$35*C71</f>
        <v>40</v>
      </c>
      <c r="F84" s="51">
        <f t="shared" si="13"/>
        <v>120</v>
      </c>
      <c r="G84" s="189">
        <f t="shared" si="12"/>
        <v>2880</v>
      </c>
      <c r="H84" s="61" t="s">
        <v>16</v>
      </c>
      <c r="I84" s="54"/>
      <c r="J84" s="54"/>
      <c r="K84"/>
      <c r="L84"/>
      <c r="M84" s="285"/>
      <c r="N84" s="70"/>
    </row>
    <row r="85" spans="1:14" s="8" customFormat="1" x14ac:dyDescent="0.25">
      <c r="A85" s="9" t="s">
        <v>202</v>
      </c>
      <c r="B85" s="9" t="s">
        <v>109</v>
      </c>
      <c r="C85" s="65">
        <f>'Prices_non-Labor'!$E$29</f>
        <v>6.5</v>
      </c>
      <c r="D85" s="52">
        <f>$G$71</f>
        <v>3</v>
      </c>
      <c r="E85" s="65">
        <f>$E74*E71</f>
        <v>27000</v>
      </c>
      <c r="F85" s="51">
        <f t="shared" si="13"/>
        <v>81000</v>
      </c>
      <c r="G85" s="189">
        <f t="shared" si="12"/>
        <v>526500</v>
      </c>
      <c r="H85" s="61" t="s">
        <v>16</v>
      </c>
      <c r="I85" s="135"/>
      <c r="J85" s="69"/>
      <c r="M85" s="285"/>
      <c r="N85" s="70"/>
    </row>
    <row r="86" spans="1:14" s="8" customFormat="1" x14ac:dyDescent="0.25">
      <c r="A86" s="9" t="s">
        <v>207</v>
      </c>
      <c r="B86" s="9" t="s">
        <v>109</v>
      </c>
      <c r="C86" s="65">
        <f>'Prices_non-Labor'!$E$35</f>
        <v>24</v>
      </c>
      <c r="D86" s="52">
        <f>$G$71</f>
        <v>3</v>
      </c>
      <c r="E86" s="45">
        <f>$E$38*C71</f>
        <v>3000</v>
      </c>
      <c r="F86" s="51">
        <f t="shared" si="13"/>
        <v>9000</v>
      </c>
      <c r="G86" s="189">
        <f t="shared" si="12"/>
        <v>216000</v>
      </c>
      <c r="H86" s="61" t="s">
        <v>16</v>
      </c>
      <c r="I86" s="131"/>
      <c r="J86" s="131"/>
      <c r="M86" s="285"/>
      <c r="N86" s="70"/>
    </row>
    <row r="87" spans="1:14" s="8" customFormat="1" x14ac:dyDescent="0.25">
      <c r="A87" s="9" t="s">
        <v>39</v>
      </c>
      <c r="B87" s="9" t="s">
        <v>15</v>
      </c>
      <c r="C87" s="65">
        <f>'Prices_non-Labor'!E24</f>
        <v>110.00000000000001</v>
      </c>
      <c r="D87" s="52">
        <f>$G$71</f>
        <v>3</v>
      </c>
      <c r="E87" s="59">
        <v>700</v>
      </c>
      <c r="F87" s="65">
        <f t="shared" si="13"/>
        <v>2100</v>
      </c>
      <c r="G87" s="189">
        <f t="shared" si="12"/>
        <v>231000.00000000003</v>
      </c>
      <c r="H87" s="61" t="s">
        <v>16</v>
      </c>
      <c r="I87" s="131"/>
      <c r="J87" s="131"/>
      <c r="M87" s="285"/>
      <c r="N87" s="70"/>
    </row>
    <row r="88" spans="1:14" s="8" customFormat="1" x14ac:dyDescent="0.25">
      <c r="A88"/>
      <c r="B88"/>
      <c r="C88"/>
      <c r="D88" s="103"/>
      <c r="E88" s="70"/>
      <c r="F88" s="126"/>
      <c r="G88"/>
      <c r="I88" s="72"/>
      <c r="J88" s="72"/>
      <c r="K88" s="127"/>
      <c r="L88" s="64"/>
      <c r="M88" s="285"/>
      <c r="N88" s="70"/>
    </row>
    <row r="89" spans="1:14" s="8" customFormat="1" x14ac:dyDescent="0.25">
      <c r="A89" s="178" t="s">
        <v>1</v>
      </c>
      <c r="B89" s="176" t="s">
        <v>32</v>
      </c>
      <c r="C89" s="176"/>
      <c r="D89" s="178" t="s">
        <v>1</v>
      </c>
      <c r="E89" s="179"/>
      <c r="F89" s="179"/>
      <c r="G89" s="180" t="s">
        <v>32</v>
      </c>
      <c r="H89" s="178" t="s">
        <v>1</v>
      </c>
      <c r="I89" s="179"/>
      <c r="J89" s="179"/>
      <c r="K89" s="175" t="s">
        <v>32</v>
      </c>
      <c r="L89" s="177" t="s">
        <v>45</v>
      </c>
      <c r="M89" s="285"/>
      <c r="N89" s="70"/>
    </row>
    <row r="90" spans="1:14" s="8" customFormat="1" x14ac:dyDescent="0.25">
      <c r="A90" s="59" t="s">
        <v>62</v>
      </c>
      <c r="B90" s="186">
        <f>SUM(G75:G87)</f>
        <v>2207928</v>
      </c>
      <c r="C90" s="79"/>
      <c r="D90" s="427" t="s">
        <v>63</v>
      </c>
      <c r="E90" s="428"/>
      <c r="F90" s="429"/>
      <c r="G90" s="84">
        <f>B90/'Demographic Data'!$B$3</f>
        <v>220.7928</v>
      </c>
      <c r="H90" s="115" t="s">
        <v>65</v>
      </c>
      <c r="I90" s="116"/>
      <c r="J90" s="117"/>
      <c r="K90" s="71">
        <f>SUMIFS($G$75:$G$87, $B$75:$B$87, "Materials", $H$75:$H$87, "Yes")</f>
        <v>13088</v>
      </c>
      <c r="L90" s="97">
        <f>K90/$B$90</f>
        <v>5.9277295274121258E-3</v>
      </c>
      <c r="M90" s="285"/>
      <c r="N90" s="70"/>
    </row>
    <row r="91" spans="1:14" s="8" customFormat="1" x14ac:dyDescent="0.25">
      <c r="A91" s="59"/>
      <c r="B91" s="74"/>
      <c r="C91" s="71"/>
      <c r="D91" s="427" t="s">
        <v>64</v>
      </c>
      <c r="E91" s="428"/>
      <c r="F91" s="429"/>
      <c r="G91" s="84">
        <f>B90/'Demographic Data'!$B$4</f>
        <v>73.5976</v>
      </c>
      <c r="H91" s="115" t="s">
        <v>66</v>
      </c>
      <c r="I91" s="116"/>
      <c r="J91" s="117"/>
      <c r="K91" s="71">
        <f>SUMIFS($G$75:$G$87, $B$75:$B$87, "Transportation", $H$75:$H$87, "Yes")</f>
        <v>1211440</v>
      </c>
      <c r="L91" s="97">
        <f>K91/$B$90</f>
        <v>0.5486773119413314</v>
      </c>
      <c r="M91" s="283"/>
      <c r="N91" s="149"/>
    </row>
    <row r="92" spans="1:14" ht="15" customHeight="1" x14ac:dyDescent="0.25">
      <c r="A92" s="62"/>
      <c r="B92" s="83"/>
      <c r="C92" s="82"/>
      <c r="D92" s="448" t="s">
        <v>60</v>
      </c>
      <c r="E92" s="449"/>
      <c r="F92" s="450"/>
      <c r="G92" s="228">
        <f>B90/'Demographic Data'!$B$5</f>
        <v>1.8399399999999999</v>
      </c>
      <c r="H92" s="116" t="s">
        <v>126</v>
      </c>
      <c r="I92" s="116"/>
      <c r="J92" s="117"/>
      <c r="K92" s="71">
        <f>SUMIFS($G$75:$G$87, $B$75:$B$87, "Meals/Per Diem", $H$75:$H$87, "Yes")</f>
        <v>752400</v>
      </c>
      <c r="L92" s="97">
        <f>K92/$B$90</f>
        <v>0.34077198169505529</v>
      </c>
      <c r="M92" s="285"/>
      <c r="N92" s="69"/>
    </row>
    <row r="93" spans="1:14" x14ac:dyDescent="0.25">
      <c r="A93" s="48"/>
      <c r="B93" s="48"/>
      <c r="C93" s="48"/>
      <c r="D93" s="430"/>
      <c r="E93" s="430"/>
      <c r="F93" s="430"/>
      <c r="G93" s="193"/>
      <c r="H93" s="59" t="s">
        <v>67</v>
      </c>
      <c r="I93" s="59"/>
      <c r="J93" s="59"/>
      <c r="K93" s="71">
        <f>SUMIFS($G$75:$G$87, $B$75:$B$87, "Facilities", $H$75:$H$87, "Yes")</f>
        <v>231000.00000000003</v>
      </c>
      <c r="L93" s="97">
        <f>K93/$B$90</f>
        <v>0.1046229768362012</v>
      </c>
      <c r="M93" s="285"/>
      <c r="N93" s="69"/>
    </row>
    <row r="94" spans="1:14" x14ac:dyDescent="0.25">
      <c r="A94" s="48"/>
      <c r="B94" s="48"/>
      <c r="C94" s="48"/>
      <c r="D94" s="48"/>
      <c r="E94" s="48"/>
      <c r="F94" s="48"/>
      <c r="G94" s="193"/>
      <c r="H94" s="8"/>
      <c r="I94" s="8"/>
      <c r="J94" s="8"/>
      <c r="K94" s="67"/>
      <c r="L94" s="69">
        <f>SUM(L90:L93)</f>
        <v>1</v>
      </c>
      <c r="M94" s="285"/>
      <c r="N94" s="69"/>
    </row>
    <row r="95" spans="1:14" x14ac:dyDescent="0.25">
      <c r="A95" s="363" t="s">
        <v>128</v>
      </c>
      <c r="B95" s="48"/>
      <c r="C95" s="48"/>
      <c r="D95" s="48"/>
      <c r="E95" s="48"/>
      <c r="F95" s="48"/>
      <c r="G95" s="193"/>
      <c r="H95" s="8"/>
      <c r="I95" s="8"/>
      <c r="J95" s="8"/>
      <c r="K95" s="67"/>
      <c r="L95" s="69"/>
      <c r="M95" s="285"/>
      <c r="N95" s="69"/>
    </row>
    <row r="96" spans="1:14" ht="30" x14ac:dyDescent="0.25">
      <c r="A96" s="142" t="s">
        <v>1</v>
      </c>
      <c r="B96" s="144" t="s">
        <v>0</v>
      </c>
      <c r="C96" s="143" t="s">
        <v>44</v>
      </c>
      <c r="D96" s="143" t="s">
        <v>25</v>
      </c>
      <c r="E96" s="143" t="s">
        <v>20</v>
      </c>
      <c r="F96" s="143" t="s">
        <v>21</v>
      </c>
      <c r="G96" s="143" t="s">
        <v>114</v>
      </c>
      <c r="H96" s="143" t="s">
        <v>17</v>
      </c>
      <c r="I96" s="8"/>
      <c r="J96" s="8"/>
      <c r="K96" s="67"/>
      <c r="L96" s="69"/>
      <c r="M96" s="285"/>
      <c r="N96" s="69"/>
    </row>
    <row r="97" spans="1:17" x14ac:dyDescent="0.25">
      <c r="A97" s="9" t="s">
        <v>127</v>
      </c>
      <c r="B97" s="9" t="s">
        <v>3</v>
      </c>
      <c r="C97" s="43">
        <f>'Prices_non-Labor'!$E$12</f>
        <v>1.2</v>
      </c>
      <c r="D97" s="52">
        <v>1</v>
      </c>
      <c r="E97" s="65">
        <f>'Demographic Data'!$B$4</f>
        <v>30000</v>
      </c>
      <c r="F97" s="51">
        <f>E97*D97</f>
        <v>30000</v>
      </c>
      <c r="G97" s="196">
        <f>SUM(C97*F97)</f>
        <v>36000</v>
      </c>
      <c r="H97" s="44" t="s">
        <v>16</v>
      </c>
      <c r="I97" s="194"/>
      <c r="J97" s="70"/>
      <c r="K97" s="198"/>
      <c r="L97" s="64"/>
      <c r="M97" s="285"/>
      <c r="N97" s="69"/>
    </row>
    <row r="98" spans="1:17" x14ac:dyDescent="0.25">
      <c r="A98" s="9" t="s">
        <v>72</v>
      </c>
      <c r="B98" s="9" t="s">
        <v>3</v>
      </c>
      <c r="C98" s="43">
        <f>'Prices_non-Labor'!E13</f>
        <v>1</v>
      </c>
      <c r="D98" s="90">
        <v>1</v>
      </c>
      <c r="E98" s="65">
        <f>'Demographic Data'!$B$5</f>
        <v>1200000</v>
      </c>
      <c r="F98" s="51">
        <f>E98*D98</f>
        <v>1200000</v>
      </c>
      <c r="G98" s="196">
        <f>SUM(C98*F98)</f>
        <v>1200000</v>
      </c>
      <c r="H98" s="44" t="s">
        <v>184</v>
      </c>
      <c r="I98" s="194"/>
      <c r="J98" s="70"/>
      <c r="K98" s="198"/>
      <c r="L98" s="64"/>
      <c r="M98" s="285"/>
      <c r="N98" s="69"/>
    </row>
    <row r="99" spans="1:17" x14ac:dyDescent="0.25">
      <c r="A99" s="9"/>
      <c r="B99" s="9"/>
      <c r="C99" s="43"/>
      <c r="D99" s="90"/>
      <c r="E99" s="65"/>
      <c r="F99" s="51"/>
      <c r="G99" s="196"/>
      <c r="H99" s="45"/>
      <c r="I99" s="205"/>
      <c r="J99" s="70"/>
      <c r="K99" s="198"/>
      <c r="L99" s="64"/>
      <c r="M99" s="285"/>
      <c r="N99" s="69"/>
    </row>
    <row r="100" spans="1:17" x14ac:dyDescent="0.25">
      <c r="A100" s="8"/>
      <c r="B100" s="8"/>
      <c r="C100" s="48"/>
      <c r="D100" s="8"/>
      <c r="E100" s="8"/>
      <c r="F100" s="8"/>
      <c r="G100" s="8"/>
      <c r="H100" s="8"/>
      <c r="I100" s="8"/>
      <c r="J100" s="8"/>
      <c r="K100" s="8"/>
      <c r="L100" s="66"/>
      <c r="M100" s="285"/>
      <c r="N100" s="69"/>
    </row>
    <row r="101" spans="1:17" x14ac:dyDescent="0.25">
      <c r="A101" s="175" t="s">
        <v>1</v>
      </c>
      <c r="B101" s="176" t="s">
        <v>32</v>
      </c>
      <c r="C101" s="176"/>
      <c r="D101" s="175" t="s">
        <v>68</v>
      </c>
      <c r="E101" s="175"/>
      <c r="F101" s="175"/>
      <c r="G101" s="176" t="s">
        <v>32</v>
      </c>
      <c r="H101" s="68"/>
      <c r="I101" s="49"/>
      <c r="J101" s="49"/>
      <c r="L101" s="54"/>
      <c r="M101" s="286"/>
    </row>
    <row r="102" spans="1:17" x14ac:dyDescent="0.25">
      <c r="A102" s="59" t="s">
        <v>75</v>
      </c>
      <c r="B102" s="65">
        <f>SUM(G97:G99)</f>
        <v>1236000</v>
      </c>
      <c r="C102" s="79"/>
      <c r="D102" s="427" t="s">
        <v>80</v>
      </c>
      <c r="E102" s="428"/>
      <c r="F102" s="429"/>
      <c r="G102" s="84">
        <f>B102/'Demographic Data'!$B$3</f>
        <v>123.6</v>
      </c>
      <c r="H102" s="69"/>
      <c r="I102" s="8"/>
      <c r="J102" s="8"/>
      <c r="K102" s="4"/>
      <c r="L102" s="55"/>
      <c r="M102" s="287"/>
      <c r="N102" s="8"/>
      <c r="O102" s="8"/>
      <c r="P102" s="8"/>
    </row>
    <row r="103" spans="1:17" x14ac:dyDescent="0.25">
      <c r="A103" s="59"/>
      <c r="B103" s="86"/>
      <c r="C103" s="79"/>
      <c r="D103" s="427" t="s">
        <v>81</v>
      </c>
      <c r="E103" s="428"/>
      <c r="F103" s="429"/>
      <c r="G103" s="84">
        <f>B102/'Demographic Data'!$B$4</f>
        <v>41.2</v>
      </c>
      <c r="H103" s="69" t="s">
        <v>1</v>
      </c>
      <c r="I103" s="8"/>
      <c r="J103" s="8"/>
      <c r="L103" s="135"/>
      <c r="M103" s="284"/>
      <c r="N103" s="8"/>
      <c r="O103" s="8"/>
      <c r="P103" s="8"/>
    </row>
    <row r="104" spans="1:17" ht="15" customHeight="1" x14ac:dyDescent="0.25">
      <c r="A104" s="62"/>
      <c r="B104" s="83"/>
      <c r="C104" s="79"/>
      <c r="D104" s="448" t="s">
        <v>82</v>
      </c>
      <c r="E104" s="449"/>
      <c r="F104" s="450"/>
      <c r="G104" s="228">
        <f>B102/'Demographic Data'!$B$5</f>
        <v>1.03</v>
      </c>
      <c r="H104" s="145"/>
      <c r="I104" s="8"/>
      <c r="J104" s="8"/>
      <c r="L104" s="135"/>
      <c r="M104" s="284"/>
      <c r="N104" s="8"/>
      <c r="O104" s="8"/>
      <c r="P104" s="8"/>
    </row>
    <row r="105" spans="1:17" x14ac:dyDescent="0.25">
      <c r="A105" s="59"/>
      <c r="B105" s="83"/>
      <c r="C105" s="59"/>
      <c r="D105" s="434" t="s">
        <v>185</v>
      </c>
      <c r="E105" s="436"/>
      <c r="F105" s="435"/>
      <c r="G105" s="252">
        <f>SUM(G98+G99)/'Demographic Data'!B5</f>
        <v>1</v>
      </c>
      <c r="H105" s="199"/>
      <c r="I105" s="69"/>
      <c r="J105" s="8"/>
      <c r="K105" s="8"/>
      <c r="M105" s="288"/>
      <c r="N105" s="69"/>
      <c r="O105" s="8"/>
      <c r="P105" s="8"/>
      <c r="Q105" s="8"/>
    </row>
    <row r="106" spans="1:17" x14ac:dyDescent="0.25">
      <c r="G106" t="s">
        <v>1</v>
      </c>
      <c r="I106" s="69"/>
      <c r="L106" s="55"/>
      <c r="M106" s="288"/>
      <c r="N106" s="69"/>
      <c r="O106" s="8"/>
      <c r="P106" s="8"/>
      <c r="Q106" s="8"/>
    </row>
    <row r="107" spans="1:17" x14ac:dyDescent="0.25">
      <c r="A107" s="381" t="s">
        <v>324</v>
      </c>
      <c r="B107" s="55"/>
      <c r="C107" s="55"/>
      <c r="D107" s="56"/>
      <c r="E107" s="56"/>
      <c r="F107" s="56"/>
      <c r="G107" s="56"/>
      <c r="H107" s="56"/>
      <c r="I107" s="56"/>
      <c r="J107" s="56"/>
      <c r="K107" s="56"/>
      <c r="L107" s="56"/>
      <c r="M107" s="288"/>
      <c r="N107" s="69"/>
      <c r="O107" s="8"/>
      <c r="P107" s="8"/>
      <c r="Q107" s="8"/>
    </row>
    <row r="108" spans="1:17" s="8" customFormat="1" x14ac:dyDescent="0.25">
      <c r="A108" s="274" t="s">
        <v>236</v>
      </c>
      <c r="B108" s="74">
        <f>B8</f>
        <v>8213594.6122448985</v>
      </c>
      <c r="C108" s="55"/>
      <c r="D108" s="56"/>
      <c r="E108" s="56"/>
      <c r="F108" s="56"/>
      <c r="G108" s="56"/>
      <c r="H108" s="56"/>
      <c r="I108" s="56"/>
      <c r="J108" s="56"/>
      <c r="K108" s="56"/>
      <c r="L108" s="56"/>
      <c r="M108" s="288"/>
      <c r="N108" s="69"/>
    </row>
    <row r="109" spans="1:17" s="8" customFormat="1" x14ac:dyDescent="0.25">
      <c r="A109" s="59" t="s">
        <v>3</v>
      </c>
      <c r="B109" s="74">
        <f>K25+K64+K90+B102+X25+X52+X65</f>
        <v>1348824</v>
      </c>
      <c r="D109" s="124"/>
      <c r="E109" s="163"/>
      <c r="F109" s="102"/>
      <c r="G109" s="197"/>
      <c r="H109" s="197"/>
      <c r="I109" s="194"/>
      <c r="J109" s="70"/>
      <c r="K109" s="198"/>
      <c r="L109" s="103"/>
      <c r="M109" s="288"/>
      <c r="N109" s="69"/>
    </row>
    <row r="110" spans="1:17" s="8" customFormat="1" x14ac:dyDescent="0.25">
      <c r="A110" s="59" t="s">
        <v>327</v>
      </c>
      <c r="B110" s="386">
        <f xml:space="preserve"> (B109/B108)</f>
        <v>0.16421847725345021</v>
      </c>
      <c r="D110" s="124"/>
      <c r="E110" s="163"/>
      <c r="F110" s="102"/>
      <c r="G110" s="197"/>
      <c r="H110" s="197"/>
      <c r="I110" s="194"/>
      <c r="J110" s="70"/>
      <c r="K110" s="198"/>
      <c r="L110" s="103"/>
      <c r="M110" s="288"/>
      <c r="N110" s="69"/>
    </row>
    <row r="111" spans="1:17" s="8" customFormat="1" x14ac:dyDescent="0.25">
      <c r="A111" s="59" t="s">
        <v>109</v>
      </c>
      <c r="B111" s="387">
        <f>SUM(K27+K66+K92+X27+X54+X67)</f>
        <v>2407650</v>
      </c>
      <c r="D111" s="163"/>
      <c r="E111" s="163"/>
      <c r="F111" s="102"/>
      <c r="G111" s="197"/>
      <c r="H111" s="197"/>
      <c r="I111" s="194"/>
      <c r="J111" s="70"/>
      <c r="K111" s="198"/>
      <c r="L111" s="103"/>
      <c r="M111" s="288"/>
      <c r="N111" s="69"/>
    </row>
    <row r="112" spans="1:17" s="8" customFormat="1" x14ac:dyDescent="0.25">
      <c r="A112" s="59" t="s">
        <v>328</v>
      </c>
      <c r="B112" s="386">
        <f xml:space="preserve"> (B111/$B$108)</f>
        <v>0.29312987962793469</v>
      </c>
      <c r="D112" s="163"/>
      <c r="E112" s="163"/>
      <c r="F112" s="102"/>
      <c r="G112" s="197"/>
      <c r="H112" s="197"/>
      <c r="I112" s="194"/>
      <c r="J112" s="70"/>
      <c r="K112" s="198"/>
      <c r="L112" s="103"/>
      <c r="M112" s="288"/>
      <c r="N112" s="69"/>
    </row>
    <row r="113" spans="1:22" s="8" customFormat="1" x14ac:dyDescent="0.25">
      <c r="A113" s="59" t="s">
        <v>41</v>
      </c>
      <c r="B113" s="74">
        <f>SUM(K26+K65+K91+X26+X53+X66)</f>
        <v>3775120.612244898</v>
      </c>
      <c r="D113" s="163"/>
      <c r="E113" s="163"/>
      <c r="F113" s="102"/>
      <c r="G113" s="70"/>
      <c r="H113" s="194"/>
      <c r="I113" s="194"/>
      <c r="J113" s="70"/>
      <c r="K113" s="198"/>
      <c r="L113" s="103"/>
      <c r="M113" s="288"/>
      <c r="N113" s="69"/>
    </row>
    <row r="114" spans="1:22" s="8" customFormat="1" x14ac:dyDescent="0.25">
      <c r="A114" s="59" t="s">
        <v>329</v>
      </c>
      <c r="B114" s="386">
        <f xml:space="preserve"> (B113/$B$108)</f>
        <v>0.459618570244131</v>
      </c>
      <c r="D114" s="163"/>
      <c r="E114" s="163"/>
      <c r="F114" s="102"/>
      <c r="G114" s="70"/>
      <c r="H114" s="194"/>
      <c r="I114" s="194"/>
      <c r="J114" s="70"/>
      <c r="K114" s="198"/>
      <c r="L114" s="103"/>
      <c r="M114" s="288"/>
      <c r="N114" s="69"/>
    </row>
    <row r="115" spans="1:22" s="8" customFormat="1" x14ac:dyDescent="0.25">
      <c r="A115" s="59" t="s">
        <v>15</v>
      </c>
      <c r="B115" s="387">
        <f>SUM(K28+K67+K93+X28+X55)</f>
        <v>682000.00000000012</v>
      </c>
      <c r="E115" s="163"/>
      <c r="F115" s="102"/>
      <c r="H115" s="70"/>
      <c r="I115" s="194"/>
      <c r="J115" s="70"/>
      <c r="K115" s="198"/>
      <c r="L115" s="103"/>
      <c r="M115" s="288"/>
      <c r="N115" s="69"/>
    </row>
    <row r="116" spans="1:22" s="8" customFormat="1" x14ac:dyDescent="0.25">
      <c r="A116" s="59" t="s">
        <v>330</v>
      </c>
      <c r="B116" s="386">
        <f xml:space="preserve"> (B115/$B$108)</f>
        <v>8.303307287448404E-2</v>
      </c>
      <c r="C116" s="194">
        <f>SUM(B109+B111+B113+B115)</f>
        <v>8213594.6122448985</v>
      </c>
      <c r="L116" s="67"/>
      <c r="M116" s="288"/>
      <c r="N116" s="69"/>
    </row>
    <row r="117" spans="1:22" s="8" customFormat="1" x14ac:dyDescent="0.25">
      <c r="A117" s="75"/>
      <c r="B117" s="273"/>
      <c r="C117" s="388">
        <f>SUM(B110+B112+B114+B116)</f>
        <v>0.99999999999999989</v>
      </c>
      <c r="D117" s="49"/>
      <c r="E117" s="49"/>
      <c r="F117" s="49"/>
      <c r="G117" s="55"/>
      <c r="H117" s="55"/>
      <c r="I117" s="68"/>
      <c r="J117" s="49"/>
      <c r="K117" s="49"/>
      <c r="M117" s="288"/>
      <c r="N117" s="69"/>
    </row>
    <row r="118" spans="1:22" s="8" customFormat="1" x14ac:dyDescent="0.25">
      <c r="A118" s="59"/>
      <c r="B118" s="74"/>
      <c r="D118" s="432"/>
      <c r="E118" s="432"/>
      <c r="F118" s="432"/>
      <c r="G118" s="125"/>
      <c r="H118" s="135"/>
      <c r="I118" s="69"/>
      <c r="L118" s="147"/>
      <c r="M118" s="288"/>
      <c r="N118" s="69"/>
    </row>
    <row r="119" spans="1:22" s="8" customFormat="1" x14ac:dyDescent="0.25">
      <c r="A119" s="75"/>
      <c r="B119" s="273"/>
      <c r="C119" s="275" t="s">
        <v>1</v>
      </c>
      <c r="D119" s="432"/>
      <c r="E119" s="432"/>
      <c r="F119" s="432"/>
      <c r="G119" s="125"/>
      <c r="H119" s="199"/>
      <c r="I119" s="69"/>
      <c r="M119" s="288"/>
      <c r="N119" s="69"/>
    </row>
    <row r="120" spans="1:22" s="8" customFormat="1" x14ac:dyDescent="0.25">
      <c r="A120" s="59"/>
      <c r="B120" s="74"/>
      <c r="C120" s="48"/>
      <c r="D120" s="451"/>
      <c r="E120" s="451"/>
      <c r="F120" s="451"/>
      <c r="G120" s="70"/>
      <c r="H120" s="199"/>
      <c r="I120" s="145"/>
      <c r="M120" s="288"/>
      <c r="N120" s="69"/>
    </row>
    <row r="121" spans="1:22" s="8" customFormat="1" x14ac:dyDescent="0.25">
      <c r="A121" s="75"/>
      <c r="B121" s="273"/>
      <c r="C121" s="481">
        <f>SUM(8213595-C116)</f>
        <v>0.38775510154664516</v>
      </c>
      <c r="D121" s="56"/>
      <c r="E121" s="56"/>
      <c r="F121" s="56"/>
      <c r="G121" s="56"/>
      <c r="H121" s="203"/>
      <c r="I121" s="204"/>
      <c r="J121" s="56"/>
      <c r="K121" s="56"/>
      <c r="L121" s="56"/>
      <c r="M121" s="288"/>
      <c r="N121" s="69"/>
    </row>
    <row r="122" spans="1:22" x14ac:dyDescent="0.25">
      <c r="A122" s="8"/>
      <c r="B122" s="8"/>
      <c r="C122" s="8"/>
      <c r="D122" s="70"/>
      <c r="E122" s="70"/>
      <c r="F122" s="70"/>
      <c r="G122" s="124"/>
      <c r="H122" s="70"/>
      <c r="I122" s="70"/>
      <c r="J122" s="70"/>
      <c r="K122" s="70"/>
      <c r="L122" s="103"/>
      <c r="M122" s="286"/>
      <c r="N122" s="54"/>
    </row>
    <row r="123" spans="1:22" x14ac:dyDescent="0.25">
      <c r="A123" s="8"/>
      <c r="B123" s="8"/>
      <c r="C123" s="8"/>
      <c r="D123" s="8"/>
      <c r="E123" s="8"/>
      <c r="I123" s="432"/>
      <c r="J123" s="432"/>
      <c r="K123" s="432"/>
      <c r="L123" s="67"/>
      <c r="M123" s="282"/>
      <c r="N123" s="69"/>
    </row>
    <row r="124" spans="1:22" x14ac:dyDescent="0.25">
      <c r="A124" s="8"/>
      <c r="B124" s="8"/>
      <c r="C124" s="8"/>
      <c r="D124" s="8"/>
      <c r="E124" s="8"/>
      <c r="M124" s="282"/>
      <c r="N124" s="69"/>
    </row>
    <row r="125" spans="1:22" x14ac:dyDescent="0.25">
      <c r="A125" s="49"/>
      <c r="B125" s="55"/>
      <c r="C125" s="55"/>
      <c r="D125" s="8"/>
      <c r="E125" s="8"/>
      <c r="G125" s="80"/>
      <c r="M125" s="282"/>
      <c r="N125" s="69"/>
    </row>
    <row r="126" spans="1:22" x14ac:dyDescent="0.25">
      <c r="A126" s="8"/>
      <c r="B126" s="8"/>
      <c r="C126" s="49"/>
      <c r="D126" s="8"/>
      <c r="E126" s="206"/>
      <c r="G126" s="80"/>
      <c r="N126" s="8"/>
    </row>
    <row r="127" spans="1:22" x14ac:dyDescent="0.25">
      <c r="A127" s="49"/>
      <c r="B127" s="194"/>
      <c r="C127" s="135"/>
      <c r="D127" s="8"/>
      <c r="E127" s="8"/>
      <c r="G127" s="80"/>
      <c r="M127" s="289"/>
      <c r="N127" s="56"/>
      <c r="O127" s="5"/>
      <c r="P127" s="5"/>
      <c r="Q127" s="5"/>
      <c r="R127" s="5"/>
      <c r="S127" s="4"/>
      <c r="T127" s="5"/>
      <c r="U127" s="5"/>
      <c r="V127" s="5"/>
    </row>
    <row r="128" spans="1:22" x14ac:dyDescent="0.25">
      <c r="A128" s="49"/>
      <c r="B128" s="194"/>
      <c r="C128" s="135"/>
      <c r="D128" s="8"/>
      <c r="E128" s="8"/>
      <c r="N128" s="8"/>
      <c r="T128" s="42"/>
    </row>
    <row r="129" spans="1:14" x14ac:dyDescent="0.25">
      <c r="A129" s="49"/>
      <c r="B129" s="194"/>
      <c r="C129" s="49"/>
      <c r="D129" s="8"/>
      <c r="E129" s="8"/>
      <c r="N129" s="8"/>
    </row>
    <row r="130" spans="1:14" x14ac:dyDescent="0.25">
      <c r="A130" s="49"/>
      <c r="B130" s="194"/>
      <c r="C130" s="135"/>
      <c r="D130" s="8"/>
      <c r="E130" s="8"/>
      <c r="N130" s="8"/>
    </row>
    <row r="131" spans="1:14" x14ac:dyDescent="0.25">
      <c r="A131" s="49"/>
      <c r="B131" s="194"/>
      <c r="C131" s="135"/>
      <c r="D131" s="8"/>
      <c r="E131" s="8"/>
      <c r="M131" s="290"/>
      <c r="N131" s="8"/>
    </row>
    <row r="132" spans="1:14" s="8" customFormat="1" x14ac:dyDescent="0.25">
      <c r="A132" s="49"/>
      <c r="B132" s="194"/>
      <c r="C132" s="135"/>
      <c r="E132" s="206"/>
      <c r="F132"/>
      <c r="G132"/>
      <c r="H132" s="1"/>
      <c r="I132"/>
      <c r="J132"/>
      <c r="K132"/>
      <c r="L132"/>
      <c r="M132" s="291"/>
    </row>
    <row r="133" spans="1:14" s="8" customFormat="1" ht="12" customHeight="1" x14ac:dyDescent="0.25">
      <c r="A133" s="49"/>
      <c r="F133"/>
      <c r="G133"/>
      <c r="H133" s="1"/>
      <c r="I133"/>
      <c r="J133"/>
      <c r="K133"/>
      <c r="L133"/>
      <c r="M133" s="282"/>
    </row>
    <row r="134" spans="1:14" s="8" customFormat="1" hidden="1" x14ac:dyDescent="0.25">
      <c r="A134" s="49"/>
      <c r="B134" s="55"/>
      <c r="C134" s="55"/>
      <c r="F134"/>
      <c r="G134"/>
      <c r="H134" s="1"/>
      <c r="I134"/>
      <c r="J134"/>
      <c r="K134"/>
      <c r="L134"/>
      <c r="M134" s="291"/>
    </row>
    <row r="135" spans="1:14" s="8" customFormat="1" hidden="1" x14ac:dyDescent="0.25">
      <c r="F135"/>
      <c r="G135"/>
      <c r="H135" s="1"/>
      <c r="I135"/>
      <c r="J135"/>
      <c r="K135"/>
      <c r="L135"/>
      <c r="M135" s="291"/>
    </row>
    <row r="136" spans="1:14" s="8" customFormat="1" ht="3" hidden="1" customHeight="1" x14ac:dyDescent="0.25">
      <c r="A136" s="49"/>
      <c r="B136" s="70"/>
      <c r="C136" s="67"/>
      <c r="D136" s="69"/>
      <c r="F136"/>
      <c r="G136"/>
      <c r="H136" s="1"/>
      <c r="I136"/>
      <c r="J136"/>
      <c r="K136"/>
      <c r="L136"/>
      <c r="M136" s="290"/>
      <c r="N136" s="68"/>
    </row>
    <row r="137" spans="1:14" s="8" customFormat="1" hidden="1" x14ac:dyDescent="0.25">
      <c r="A137" s="49"/>
      <c r="B137" s="194"/>
      <c r="C137" s="67"/>
      <c r="D137" s="69"/>
      <c r="F137"/>
      <c r="G137"/>
      <c r="H137" s="1"/>
      <c r="I137"/>
      <c r="J137"/>
      <c r="K137"/>
      <c r="L137"/>
      <c r="M137" s="282"/>
      <c r="N137" s="69"/>
    </row>
    <row r="138" spans="1:14" s="8" customFormat="1" hidden="1" x14ac:dyDescent="0.25">
      <c r="A138" s="49"/>
      <c r="B138" s="194"/>
      <c r="C138" s="67"/>
      <c r="D138" s="69"/>
      <c r="F138"/>
      <c r="G138"/>
      <c r="H138" s="1"/>
      <c r="I138"/>
      <c r="J138"/>
      <c r="K138"/>
      <c r="L138"/>
      <c r="M138" s="282"/>
      <c r="N138" s="69"/>
    </row>
    <row r="139" spans="1:14" s="8" customFormat="1" ht="6.75" hidden="1" customHeight="1" x14ac:dyDescent="0.25">
      <c r="A139" s="49"/>
      <c r="B139" s="194"/>
      <c r="C139" s="67"/>
      <c r="D139" s="69"/>
      <c r="F139"/>
      <c r="G139"/>
      <c r="H139" s="1"/>
      <c r="I139"/>
      <c r="J139"/>
      <c r="K139"/>
      <c r="L139"/>
      <c r="M139" s="7"/>
    </row>
    <row r="140" spans="1:14" s="8" customFormat="1" hidden="1" x14ac:dyDescent="0.25">
      <c r="A140" s="49"/>
      <c r="B140" s="194"/>
      <c r="C140" s="67"/>
      <c r="D140" s="69"/>
      <c r="F140"/>
      <c r="G140"/>
      <c r="H140" s="1"/>
      <c r="I140"/>
      <c r="J140"/>
      <c r="K140"/>
      <c r="L140"/>
      <c r="M140" s="7"/>
    </row>
    <row r="141" spans="1:14" s="8" customFormat="1" ht="14.25" hidden="1" customHeight="1" x14ac:dyDescent="0.25">
      <c r="A141" s="49"/>
      <c r="B141" s="198"/>
      <c r="C141" s="135"/>
      <c r="D141" s="69"/>
      <c r="F141"/>
      <c r="G141"/>
      <c r="H141" s="1"/>
      <c r="I141"/>
      <c r="J141"/>
      <c r="K141"/>
      <c r="L141"/>
      <c r="M141" s="7"/>
    </row>
    <row r="142" spans="1:14" s="8" customFormat="1" hidden="1" x14ac:dyDescent="0.25">
      <c r="A142" s="49"/>
      <c r="F142"/>
      <c r="G142"/>
      <c r="H142" s="1"/>
      <c r="I142"/>
      <c r="J142"/>
      <c r="K142"/>
      <c r="L142"/>
      <c r="M142" s="7"/>
    </row>
    <row r="143" spans="1:14" s="8" customFormat="1" hidden="1" x14ac:dyDescent="0.25">
      <c r="B143" s="194"/>
      <c r="F143"/>
      <c r="G143"/>
      <c r="H143" s="1"/>
      <c r="I143"/>
      <c r="J143"/>
      <c r="K143"/>
      <c r="L143"/>
      <c r="M143" s="7"/>
    </row>
    <row r="144" spans="1:14" s="8" customFormat="1" hidden="1" x14ac:dyDescent="0.25">
      <c r="F144"/>
      <c r="G144"/>
      <c r="H144" s="1"/>
      <c r="I144"/>
      <c r="J144"/>
      <c r="K144"/>
      <c r="L144"/>
      <c r="M144" s="7"/>
    </row>
    <row r="145" spans="1:14" s="8" customFormat="1" hidden="1" x14ac:dyDescent="0.25">
      <c r="F145"/>
      <c r="G145"/>
      <c r="H145" s="1"/>
      <c r="I145"/>
      <c r="J145"/>
      <c r="K145"/>
      <c r="L145"/>
      <c r="M145" s="7"/>
    </row>
    <row r="146" spans="1:14" s="8" customFormat="1" hidden="1" x14ac:dyDescent="0.25">
      <c r="F146"/>
      <c r="G146"/>
      <c r="H146" s="1"/>
      <c r="I146"/>
      <c r="J146"/>
      <c r="K146"/>
      <c r="L146"/>
      <c r="M146" s="144"/>
      <c r="N146" s="118"/>
    </row>
    <row r="147" spans="1:14" s="8" customFormat="1" hidden="1" x14ac:dyDescent="0.25">
      <c r="F147"/>
      <c r="G147"/>
      <c r="H147" s="1"/>
      <c r="I147"/>
      <c r="J147"/>
      <c r="K147"/>
      <c r="L147"/>
      <c r="M147" s="292"/>
      <c r="N147" s="97"/>
    </row>
    <row r="148" spans="1:14" s="8" customFormat="1" hidden="1" x14ac:dyDescent="0.25">
      <c r="F148"/>
      <c r="G148"/>
      <c r="H148" s="1"/>
      <c r="I148"/>
      <c r="J148"/>
      <c r="K148"/>
      <c r="L148"/>
      <c r="M148" s="292"/>
      <c r="N148" s="97"/>
    </row>
    <row r="149" spans="1:14" s="8" customFormat="1" hidden="1" x14ac:dyDescent="0.25">
      <c r="F149"/>
      <c r="G149"/>
      <c r="H149" s="1"/>
      <c r="I149"/>
      <c r="J149"/>
      <c r="K149"/>
      <c r="L149"/>
      <c r="M149" s="292"/>
      <c r="N149" s="97"/>
    </row>
    <row r="150" spans="1:14" s="8" customFormat="1" hidden="1" x14ac:dyDescent="0.25">
      <c r="F150"/>
      <c r="G150"/>
      <c r="H150" s="1"/>
      <c r="I150"/>
      <c r="J150"/>
      <c r="K150"/>
      <c r="L150"/>
      <c r="M150" s="292"/>
      <c r="N150" s="97"/>
    </row>
    <row r="151" spans="1:14" s="8" customFormat="1" hidden="1" x14ac:dyDescent="0.25">
      <c r="F151"/>
      <c r="G151"/>
      <c r="H151" s="1"/>
      <c r="I151"/>
      <c r="J151"/>
      <c r="K151"/>
      <c r="L151"/>
      <c r="M151" s="282"/>
      <c r="N151" s="69"/>
    </row>
    <row r="152" spans="1:14" s="8" customFormat="1" hidden="1" x14ac:dyDescent="0.25">
      <c r="F152"/>
      <c r="G152"/>
      <c r="H152" s="1"/>
      <c r="I152"/>
      <c r="J152"/>
      <c r="K152"/>
      <c r="L152"/>
      <c r="M152" s="282"/>
      <c r="N152" s="69"/>
    </row>
    <row r="153" spans="1:14" s="8" customFormat="1" hidden="1" x14ac:dyDescent="0.25">
      <c r="F153"/>
      <c r="G153"/>
      <c r="H153" s="1"/>
      <c r="I153"/>
      <c r="J153"/>
      <c r="K153"/>
      <c r="L153"/>
      <c r="M153" s="282"/>
      <c r="N153" s="69"/>
    </row>
    <row r="154" spans="1:14" s="8" customFormat="1" hidden="1" x14ac:dyDescent="0.25">
      <c r="F154"/>
      <c r="G154"/>
      <c r="H154" s="1"/>
      <c r="I154"/>
      <c r="J154"/>
      <c r="K154"/>
      <c r="L154"/>
      <c r="M154" s="282"/>
      <c r="N154" s="69"/>
    </row>
    <row r="155" spans="1:14" s="8" customFormat="1" hidden="1" x14ac:dyDescent="0.25">
      <c r="F155"/>
      <c r="G155"/>
      <c r="H155" s="1"/>
      <c r="I155"/>
      <c r="J155"/>
      <c r="K155"/>
      <c r="L155"/>
      <c r="M155" s="144"/>
      <c r="N155" s="118"/>
    </row>
    <row r="156" spans="1:14" s="8" customFormat="1" hidden="1" x14ac:dyDescent="0.25">
      <c r="F156"/>
      <c r="G156"/>
      <c r="H156" s="1"/>
      <c r="I156"/>
      <c r="J156"/>
      <c r="K156"/>
      <c r="L156"/>
      <c r="M156" s="292"/>
      <c r="N156" s="97"/>
    </row>
    <row r="157" spans="1:14" s="8" customFormat="1" hidden="1" x14ac:dyDescent="0.25">
      <c r="F157"/>
      <c r="G157"/>
      <c r="H157" s="1"/>
      <c r="I157"/>
      <c r="J157"/>
      <c r="K157"/>
      <c r="L157"/>
      <c r="M157" s="282"/>
      <c r="N157" s="69"/>
    </row>
    <row r="158" spans="1:14" hidden="1" x14ac:dyDescent="0.25">
      <c r="A158" s="8"/>
      <c r="B158" s="8"/>
      <c r="C158" s="8"/>
      <c r="D158" s="8"/>
      <c r="E158" s="8"/>
      <c r="M158" s="282"/>
      <c r="N158" s="69"/>
    </row>
    <row r="159" spans="1:14" x14ac:dyDescent="0.25">
      <c r="A159" s="8"/>
      <c r="B159" s="8"/>
      <c r="C159" s="8"/>
      <c r="D159" s="8"/>
      <c r="E159" s="8"/>
    </row>
    <row r="160" spans="1:14" x14ac:dyDescent="0.25">
      <c r="A160" s="8"/>
      <c r="B160" s="8"/>
      <c r="C160" s="8"/>
      <c r="D160" s="8"/>
      <c r="E160" s="8"/>
    </row>
    <row r="161" spans="1:5" x14ac:dyDescent="0.25">
      <c r="A161" s="8"/>
      <c r="B161" s="8"/>
      <c r="C161" s="8"/>
      <c r="D161" s="8"/>
      <c r="E161" s="8"/>
    </row>
  </sheetData>
  <mergeCells count="51">
    <mergeCell ref="D105:F105"/>
    <mergeCell ref="D118:F118"/>
    <mergeCell ref="D119:F119"/>
    <mergeCell ref="D120:F120"/>
    <mergeCell ref="I123:K123"/>
    <mergeCell ref="D104:F104"/>
    <mergeCell ref="D64:F64"/>
    <mergeCell ref="D65:F65"/>
    <mergeCell ref="D66:F66"/>
    <mergeCell ref="D67:F67"/>
    <mergeCell ref="D91:F91"/>
    <mergeCell ref="D92:F92"/>
    <mergeCell ref="D93:F93"/>
    <mergeCell ref="D102:F102"/>
    <mergeCell ref="D103:F103"/>
    <mergeCell ref="I68:K68"/>
    <mergeCell ref="D90:F90"/>
    <mergeCell ref="E4:F4"/>
    <mergeCell ref="H4:J4"/>
    <mergeCell ref="H6:J6"/>
    <mergeCell ref="H7:J7"/>
    <mergeCell ref="H28:J28"/>
    <mergeCell ref="I29:K29"/>
    <mergeCell ref="E1:H1"/>
    <mergeCell ref="I1:M1"/>
    <mergeCell ref="E2:G2"/>
    <mergeCell ref="H2:K2"/>
    <mergeCell ref="E3:F3"/>
    <mergeCell ref="H3:J3"/>
    <mergeCell ref="R1:U1"/>
    <mergeCell ref="V1:Z1"/>
    <mergeCell ref="R2:T2"/>
    <mergeCell ref="U2:X2"/>
    <mergeCell ref="R3:S3"/>
    <mergeCell ref="U3:W3"/>
    <mergeCell ref="R4:S4"/>
    <mergeCell ref="U4:W4"/>
    <mergeCell ref="U6:W6"/>
    <mergeCell ref="R7:S7"/>
    <mergeCell ref="U7:W7"/>
    <mergeCell ref="R8:S8"/>
    <mergeCell ref="U28:W28"/>
    <mergeCell ref="V29:X29"/>
    <mergeCell ref="Q52:S52"/>
    <mergeCell ref="Q53:S53"/>
    <mergeCell ref="Q67:S67"/>
    <mergeCell ref="Q54:S54"/>
    <mergeCell ref="Q55:S55"/>
    <mergeCell ref="V56:X56"/>
    <mergeCell ref="Q65:S65"/>
    <mergeCell ref="Q66:S66"/>
  </mergeCells>
  <dataValidations count="2">
    <dataValidation type="list" allowBlank="1" showInputMessage="1" showErrorMessage="1" sqref="L122 L62 L31:L32 L97:L99 L109:L115 L23 H12:H22 H35:H61 L88 H73:H87 Y50 Y31:Y32 Y23 U12:U22 U35:U49 Y59:Y63 U59:U62" xr:uid="{8EA990D1-0E30-449D-8335-12B8365352E3}">
      <formula1>"Yes, No, N/A"</formula1>
    </dataValidation>
    <dataValidation type="list" allowBlank="1" showInputMessage="1" showErrorMessage="1" sqref="P63" xr:uid="{82CD3CC3-B0A1-4A81-B710-37DF2280FAC1}">
      <formula1>"2020,2021,2022,2023,2024"</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B35FE2DC-E85C-407F-86F2-96956BF61215}">
          <x14:formula1>
            <xm:f>'Reference Sheet'!$E$2:$E$10</xm:f>
          </x14:formula1>
          <xm:sqref>B122 B73:B88 B31:B32 B35:B62 B97 B12:B23 O31:O32 O12:O23 O35:O50</xm:sqref>
        </x14:dataValidation>
        <x14:dataValidation type="list" allowBlank="1" showInputMessage="1" showErrorMessage="1" xr:uid="{DEFD7EA6-C29C-483A-B3F6-CD05EBCF88F7}">
          <x14:formula1>
            <xm:f>'Reference Sheet'!$E$3:$E$10</xm:f>
          </x14:formula1>
          <xm:sqref>B98:B99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8F22D-43C2-4CC2-9D8A-6C2123866485}">
  <sheetPr>
    <tabColor theme="8" tint="0.39997558519241921"/>
  </sheetPr>
  <dimension ref="A1:Z158"/>
  <sheetViews>
    <sheetView topLeftCell="A88" zoomScale="90" zoomScaleNormal="90" workbookViewId="0">
      <selection activeCell="X68" sqref="X68"/>
    </sheetView>
  </sheetViews>
  <sheetFormatPr defaultRowHeight="15" x14ac:dyDescent="0.25"/>
  <cols>
    <col min="1" max="1" width="44.42578125" customWidth="1"/>
    <col min="2" max="2" width="15.28515625" customWidth="1"/>
    <col min="3" max="3" width="13.140625" customWidth="1"/>
    <col min="4" max="4" width="14.140625" customWidth="1"/>
    <col min="5" max="5" width="15.5703125" customWidth="1"/>
    <col min="6" max="7" width="15.140625" customWidth="1"/>
    <col min="8" max="8" width="13.42578125" style="1" customWidth="1"/>
    <col min="9" max="9" width="15.140625" customWidth="1"/>
    <col min="10" max="10" width="16.28515625" customWidth="1"/>
    <col min="11" max="11" width="16" customWidth="1"/>
    <col min="12" max="12" width="17.5703125" customWidth="1"/>
    <col min="13" max="13" width="14.28515625" style="7" customWidth="1"/>
    <col min="14" max="14" width="30.5703125" customWidth="1"/>
    <col min="15" max="15" width="19.42578125" customWidth="1"/>
    <col min="16" max="16" width="11" customWidth="1"/>
    <col min="17" max="17" width="12.42578125" customWidth="1"/>
    <col min="18" max="22" width="11" customWidth="1"/>
    <col min="23" max="23" width="10.85546875" customWidth="1"/>
    <col min="24" max="24" width="12.140625" customWidth="1"/>
    <col min="25" max="25" width="14.28515625" customWidth="1"/>
  </cols>
  <sheetData>
    <row r="1" spans="1:26" ht="58.5" customHeight="1" x14ac:dyDescent="0.25">
      <c r="A1" s="343" t="s">
        <v>235</v>
      </c>
      <c r="B1" s="343" t="s">
        <v>43</v>
      </c>
      <c r="C1" s="344" t="s">
        <v>111</v>
      </c>
      <c r="D1" s="345" t="s">
        <v>131</v>
      </c>
      <c r="E1" s="452" t="s">
        <v>303</v>
      </c>
      <c r="F1" s="452"/>
      <c r="G1" s="452"/>
      <c r="H1" s="452"/>
      <c r="I1" s="441"/>
      <c r="J1" s="441"/>
      <c r="K1" s="441"/>
      <c r="L1" s="441"/>
      <c r="M1" s="441"/>
      <c r="N1" s="329" t="s">
        <v>148</v>
      </c>
      <c r="O1" s="329" t="s">
        <v>43</v>
      </c>
      <c r="P1" s="330" t="s">
        <v>111</v>
      </c>
      <c r="Q1" s="167" t="s">
        <v>131</v>
      </c>
      <c r="R1" s="439" t="s">
        <v>261</v>
      </c>
      <c r="S1" s="440"/>
      <c r="T1" s="440"/>
      <c r="U1" s="440"/>
      <c r="V1" s="441"/>
      <c r="W1" s="441"/>
      <c r="X1" s="441"/>
      <c r="Y1" s="441"/>
      <c r="Z1" s="441"/>
    </row>
    <row r="2" spans="1:26" ht="15" customHeight="1" x14ac:dyDescent="0.25">
      <c r="C2" s="1"/>
      <c r="D2" s="253"/>
      <c r="E2" s="453" t="s">
        <v>1</v>
      </c>
      <c r="F2" s="454"/>
      <c r="G2" s="454"/>
      <c r="H2" s="454"/>
      <c r="I2" s="441"/>
      <c r="J2" s="441"/>
      <c r="K2" s="441"/>
      <c r="L2" s="441"/>
      <c r="M2" s="441"/>
      <c r="P2" s="1"/>
      <c r="Q2" s="253"/>
      <c r="R2" s="442" t="s">
        <v>265</v>
      </c>
      <c r="S2" s="443"/>
      <c r="T2" s="444"/>
      <c r="U2" s="445" t="s">
        <v>264</v>
      </c>
      <c r="V2" s="445"/>
      <c r="W2" s="445"/>
      <c r="X2" s="445"/>
      <c r="Y2" s="8"/>
      <c r="Z2" s="7"/>
    </row>
    <row r="3" spans="1:26" x14ac:dyDescent="0.25">
      <c r="A3" s="75" t="s">
        <v>46</v>
      </c>
      <c r="B3" s="78">
        <f>B25+B64+B90</f>
        <v>3705685.6</v>
      </c>
      <c r="C3" s="207">
        <f>B3/B8</f>
        <v>0.7837124839852555</v>
      </c>
      <c r="D3" s="227">
        <f>G28+G66+G92</f>
        <v>3.0880713333333336</v>
      </c>
      <c r="E3" s="295" t="s">
        <v>233</v>
      </c>
      <c r="F3" s="296"/>
      <c r="G3" s="297"/>
      <c r="H3" s="112" t="s">
        <v>234</v>
      </c>
      <c r="I3" s="112"/>
      <c r="J3" s="112"/>
      <c r="K3" s="112"/>
      <c r="L3" s="8"/>
      <c r="N3" s="75" t="s">
        <v>151</v>
      </c>
      <c r="O3" s="78">
        <f>O25+O52</f>
        <v>280881.7</v>
      </c>
      <c r="P3" s="207">
        <f>O3/O8</f>
        <v>0.3167618784461888</v>
      </c>
      <c r="Q3" s="227">
        <f>T28+T54</f>
        <v>0.23406808333333334</v>
      </c>
      <c r="R3" s="434" t="s">
        <v>262</v>
      </c>
      <c r="S3" s="435"/>
      <c r="T3" s="9">
        <v>2</v>
      </c>
      <c r="U3" s="434" t="s">
        <v>301</v>
      </c>
      <c r="V3" s="436"/>
      <c r="W3" s="435"/>
      <c r="X3" s="331">
        <v>9</v>
      </c>
      <c r="Y3" s="8"/>
      <c r="Z3" s="7"/>
    </row>
    <row r="4" spans="1:26" x14ac:dyDescent="0.25">
      <c r="A4" s="75"/>
      <c r="B4" s="75"/>
      <c r="C4" s="79"/>
      <c r="D4" s="227"/>
      <c r="E4" s="150" t="s">
        <v>222</v>
      </c>
      <c r="F4" s="294"/>
      <c r="G4" s="9">
        <v>3</v>
      </c>
      <c r="H4" s="150" t="s">
        <v>223</v>
      </c>
      <c r="I4" s="293"/>
      <c r="J4" s="294"/>
      <c r="K4" s="278" t="s">
        <v>224</v>
      </c>
      <c r="L4" s="8"/>
      <c r="N4" s="75"/>
      <c r="O4" s="75"/>
      <c r="P4" s="79"/>
      <c r="Q4" s="227"/>
      <c r="R4" s="434" t="s">
        <v>263</v>
      </c>
      <c r="S4" s="435"/>
      <c r="T4" s="9">
        <v>3</v>
      </c>
      <c r="U4" s="434"/>
      <c r="V4" s="436"/>
      <c r="W4" s="435"/>
      <c r="X4" s="61"/>
      <c r="Y4" s="8"/>
      <c r="Z4" s="7"/>
    </row>
    <row r="5" spans="1:26" x14ac:dyDescent="0.25">
      <c r="A5" s="75"/>
      <c r="B5" s="75"/>
      <c r="C5" s="75"/>
      <c r="D5" s="99"/>
      <c r="E5" s="150" t="s">
        <v>237</v>
      </c>
      <c r="F5" s="294"/>
      <c r="G5" s="9">
        <v>2</v>
      </c>
      <c r="H5" s="150" t="s">
        <v>227</v>
      </c>
      <c r="I5" s="293"/>
      <c r="J5" s="294"/>
      <c r="K5" s="61" t="s">
        <v>224</v>
      </c>
      <c r="L5" s="8"/>
      <c r="N5" s="75"/>
      <c r="O5" s="75"/>
      <c r="P5" s="75"/>
      <c r="Q5" s="99"/>
      <c r="R5" s="63"/>
      <c r="S5" s="63"/>
      <c r="T5" s="90"/>
      <c r="W5" s="280"/>
      <c r="X5" s="281"/>
      <c r="Y5" s="8"/>
      <c r="Z5" s="7"/>
    </row>
    <row r="6" spans="1:26" x14ac:dyDescent="0.25">
      <c r="A6" s="75" t="s">
        <v>112</v>
      </c>
      <c r="B6" s="78">
        <f>B102</f>
        <v>135960</v>
      </c>
      <c r="C6" s="207">
        <f>B6/B8</f>
        <v>2.8754071668312963E-2</v>
      </c>
      <c r="D6" s="227">
        <f>G104</f>
        <v>0.1133</v>
      </c>
      <c r="E6" s="63" t="s">
        <v>238</v>
      </c>
      <c r="F6" s="63"/>
      <c r="G6" s="90">
        <v>2</v>
      </c>
      <c r="H6" t="s">
        <v>228</v>
      </c>
      <c r="J6" s="280"/>
      <c r="K6" s="281"/>
      <c r="L6" s="8"/>
      <c r="N6" s="75" t="s">
        <v>260</v>
      </c>
      <c r="O6" s="78">
        <f>O65</f>
        <v>605846.53061224497</v>
      </c>
      <c r="P6" s="207">
        <f>O6/O8</f>
        <v>0.68323812155381125</v>
      </c>
      <c r="Q6" s="227">
        <f>T67</f>
        <v>0.5048721088435375</v>
      </c>
      <c r="R6" s="63"/>
      <c r="S6" s="63"/>
      <c r="T6" s="279"/>
      <c r="U6" s="437"/>
      <c r="V6" s="437"/>
      <c r="W6" s="437"/>
      <c r="X6" s="9"/>
      <c r="Y6" s="8"/>
      <c r="Z6" s="7"/>
    </row>
    <row r="7" spans="1:26" x14ac:dyDescent="0.25">
      <c r="A7" s="364" t="s">
        <v>255</v>
      </c>
      <c r="B7" s="365">
        <f>O8</f>
        <v>886728.23061224492</v>
      </c>
      <c r="C7" s="207">
        <f>B7/B8</f>
        <v>0.18753344434643157</v>
      </c>
      <c r="D7" s="366">
        <f>Q8</f>
        <v>0.73894019217687079</v>
      </c>
      <c r="E7" s="63"/>
      <c r="F7" s="63"/>
      <c r="G7" s="90"/>
      <c r="H7" s="9" t="s">
        <v>225</v>
      </c>
      <c r="I7" s="9"/>
      <c r="J7" s="9"/>
      <c r="K7" s="9">
        <v>0.1</v>
      </c>
      <c r="L7" s="8"/>
      <c r="N7" s="254"/>
      <c r="O7" s="255"/>
      <c r="P7" s="79"/>
      <c r="Q7" s="256"/>
      <c r="R7" s="434" t="s">
        <v>229</v>
      </c>
      <c r="S7" s="435"/>
      <c r="T7" s="60">
        <v>1</v>
      </c>
      <c r="U7" s="438"/>
      <c r="V7" s="438"/>
      <c r="W7" s="438"/>
      <c r="X7" s="57"/>
      <c r="Y7" s="8"/>
      <c r="Z7" s="7"/>
    </row>
    <row r="8" spans="1:26" x14ac:dyDescent="0.25">
      <c r="A8" s="75" t="s">
        <v>42</v>
      </c>
      <c r="B8" s="78">
        <f>SUM(B3:B7)</f>
        <v>4728373.830612245</v>
      </c>
      <c r="C8" s="79"/>
      <c r="D8" s="227">
        <f>SUM(D3:D7)</f>
        <v>3.9403115255102046</v>
      </c>
      <c r="E8" s="63" t="s">
        <v>229</v>
      </c>
      <c r="F8" s="63"/>
      <c r="G8" s="60">
        <v>1</v>
      </c>
      <c r="H8" s="59" t="s">
        <v>226</v>
      </c>
      <c r="I8" s="59"/>
      <c r="J8" s="59"/>
      <c r="K8" s="57" t="s">
        <v>197</v>
      </c>
      <c r="L8" s="8"/>
      <c r="N8" s="75" t="s">
        <v>42</v>
      </c>
      <c r="O8" s="78">
        <f>O3+O6</f>
        <v>886728.23061224492</v>
      </c>
      <c r="P8" s="79"/>
      <c r="Q8" s="227">
        <f>SUM(Q3+Q6)</f>
        <v>0.73894019217687079</v>
      </c>
      <c r="R8" s="434" t="s">
        <v>230</v>
      </c>
      <c r="S8" s="435"/>
      <c r="T8" s="60">
        <v>0.1</v>
      </c>
      <c r="U8" s="8"/>
      <c r="V8" s="49"/>
      <c r="W8" s="8"/>
      <c r="X8" s="8"/>
      <c r="Y8" s="8"/>
      <c r="Z8" s="7"/>
    </row>
    <row r="9" spans="1:26" x14ac:dyDescent="0.25">
      <c r="A9" s="1"/>
      <c r="C9" s="304">
        <f>SUM(C3:C7)</f>
        <v>1</v>
      </c>
      <c r="E9" s="63" t="s">
        <v>230</v>
      </c>
      <c r="F9" s="63"/>
      <c r="G9" s="60">
        <v>0.1</v>
      </c>
      <c r="H9" s="8"/>
      <c r="I9" s="49"/>
      <c r="J9" s="8"/>
      <c r="K9" s="8"/>
      <c r="L9" s="8"/>
      <c r="N9" s="333"/>
      <c r="O9" s="334"/>
      <c r="P9" s="335"/>
      <c r="Q9" s="336"/>
      <c r="R9" s="337"/>
      <c r="S9" s="337"/>
      <c r="T9" s="338"/>
      <c r="U9" s="339"/>
      <c r="V9" s="333"/>
      <c r="W9" s="339"/>
      <c r="X9" s="339"/>
      <c r="Y9" s="339"/>
      <c r="Z9" s="339"/>
    </row>
    <row r="10" spans="1:26" ht="15.75" x14ac:dyDescent="0.25">
      <c r="A10" s="346" t="s">
        <v>132</v>
      </c>
      <c r="F10" s="10" t="s">
        <v>40</v>
      </c>
      <c r="G10" s="75">
        <f>$G$4</f>
        <v>3</v>
      </c>
      <c r="H10" s="1" t="s">
        <v>1</v>
      </c>
      <c r="N10" s="329" t="s">
        <v>308</v>
      </c>
      <c r="O10" s="10" t="s">
        <v>217</v>
      </c>
      <c r="P10" s="277">
        <v>1</v>
      </c>
      <c r="T10" s="10" t="s">
        <v>40</v>
      </c>
      <c r="U10" s="329">
        <f>T3</f>
        <v>2</v>
      </c>
    </row>
    <row r="11" spans="1:26" ht="66.75" customHeight="1" x14ac:dyDescent="0.25">
      <c r="A11" s="142" t="s">
        <v>208</v>
      </c>
      <c r="B11" s="144" t="s">
        <v>0</v>
      </c>
      <c r="C11" s="143" t="s">
        <v>134</v>
      </c>
      <c r="D11" s="143" t="s">
        <v>25</v>
      </c>
      <c r="E11" s="143" t="s">
        <v>20</v>
      </c>
      <c r="F11" s="143" t="s">
        <v>21</v>
      </c>
      <c r="G11" s="143" t="s">
        <v>105</v>
      </c>
      <c r="H11" s="143" t="s">
        <v>17</v>
      </c>
      <c r="N11" s="142" t="s">
        <v>208</v>
      </c>
      <c r="O11" s="144" t="s">
        <v>0</v>
      </c>
      <c r="P11" s="143" t="s">
        <v>134</v>
      </c>
      <c r="Q11" s="143" t="s">
        <v>25</v>
      </c>
      <c r="R11" s="143" t="s">
        <v>20</v>
      </c>
      <c r="S11" s="143" t="s">
        <v>21</v>
      </c>
      <c r="T11" s="143" t="s">
        <v>105</v>
      </c>
      <c r="U11" s="143" t="s">
        <v>17</v>
      </c>
      <c r="Z11" s="8"/>
    </row>
    <row r="12" spans="1:26" s="8" customFormat="1" x14ac:dyDescent="0.25">
      <c r="A12" s="50" t="s">
        <v>28</v>
      </c>
      <c r="B12" s="9"/>
      <c r="C12" s="119"/>
      <c r="D12" s="58">
        <f>$G$10</f>
        <v>3</v>
      </c>
      <c r="E12" s="58">
        <v>20</v>
      </c>
      <c r="F12" s="65">
        <f>D12*E12</f>
        <v>60</v>
      </c>
      <c r="G12" s="110"/>
      <c r="H12" s="61" t="s">
        <v>18</v>
      </c>
      <c r="M12" s="7"/>
      <c r="N12" s="50" t="s">
        <v>28</v>
      </c>
      <c r="O12" s="9"/>
      <c r="P12" s="119"/>
      <c r="Q12" s="58"/>
      <c r="R12" s="58">
        <v>20</v>
      </c>
      <c r="S12" s="65">
        <f>Q12*R12</f>
        <v>0</v>
      </c>
      <c r="T12" s="110"/>
      <c r="U12" s="61" t="s">
        <v>18</v>
      </c>
    </row>
    <row r="13" spans="1:26" s="8" customFormat="1" x14ac:dyDescent="0.25">
      <c r="A13" s="50" t="s">
        <v>78</v>
      </c>
      <c r="B13" s="9"/>
      <c r="C13" s="185"/>
      <c r="D13" s="58">
        <f>$G$10</f>
        <v>3</v>
      </c>
      <c r="E13" s="58">
        <v>400</v>
      </c>
      <c r="F13" s="65">
        <f>D13*E13</f>
        <v>1200</v>
      </c>
      <c r="G13" s="110"/>
      <c r="H13" s="61" t="s">
        <v>18</v>
      </c>
      <c r="M13" s="7"/>
      <c r="N13" s="50" t="s">
        <v>78</v>
      </c>
      <c r="O13" s="9"/>
      <c r="P13" s="185"/>
      <c r="Q13" s="58"/>
      <c r="R13" s="58">
        <v>100</v>
      </c>
      <c r="S13" s="65">
        <f>Q13*R13</f>
        <v>0</v>
      </c>
      <c r="T13" s="110"/>
      <c r="U13" s="61" t="s">
        <v>18</v>
      </c>
    </row>
    <row r="14" spans="1:26" s="8" customFormat="1" x14ac:dyDescent="0.25">
      <c r="A14" s="50" t="s">
        <v>26</v>
      </c>
      <c r="B14" s="9" t="s">
        <v>3</v>
      </c>
      <c r="C14" s="219">
        <f>'Prices_non-Labor'!$F$12</f>
        <v>1.32</v>
      </c>
      <c r="D14" s="58">
        <v>1</v>
      </c>
      <c r="E14" s="58">
        <f>SUM(E12:E13)*D14</f>
        <v>420</v>
      </c>
      <c r="F14" s="62">
        <f>E14</f>
        <v>420</v>
      </c>
      <c r="G14" s="189">
        <f>F14*C14</f>
        <v>554.4</v>
      </c>
      <c r="H14" s="61" t="s">
        <v>16</v>
      </c>
      <c r="M14" s="7"/>
      <c r="N14" s="50" t="s">
        <v>26</v>
      </c>
      <c r="O14" s="9" t="s">
        <v>3</v>
      </c>
      <c r="P14" s="185">
        <f>'Prices_non-Labor'!$F$12</f>
        <v>1.32</v>
      </c>
      <c r="Q14" s="58">
        <v>1</v>
      </c>
      <c r="R14" s="58">
        <f>SUM(R12:R13)*Q14</f>
        <v>120</v>
      </c>
      <c r="S14" s="62">
        <f>R14</f>
        <v>120</v>
      </c>
      <c r="T14" s="189">
        <f t="shared" ref="T14:T22" si="0">S14*P14</f>
        <v>158.4</v>
      </c>
      <c r="U14" s="61" t="s">
        <v>16</v>
      </c>
    </row>
    <row r="15" spans="1:26" s="8" customFormat="1" x14ac:dyDescent="0.25">
      <c r="A15" s="50" t="s">
        <v>79</v>
      </c>
      <c r="B15" s="9" t="s">
        <v>3</v>
      </c>
      <c r="C15" s="219">
        <f>'Prices_non-Labor'!$F$13</f>
        <v>1.1000000000000001</v>
      </c>
      <c r="D15" s="58">
        <v>0.2</v>
      </c>
      <c r="E15" s="58">
        <v>420</v>
      </c>
      <c r="F15" s="62">
        <f>E15*D15</f>
        <v>84</v>
      </c>
      <c r="G15" s="189">
        <f t="shared" ref="G15:G22" si="1">F15*C15</f>
        <v>92.4</v>
      </c>
      <c r="H15" s="61" t="s">
        <v>16</v>
      </c>
      <c r="M15" s="7"/>
      <c r="N15" s="50" t="s">
        <v>79</v>
      </c>
      <c r="O15" s="9" t="s">
        <v>3</v>
      </c>
      <c r="P15" s="185">
        <f>'Prices_non-Labor'!$F$13</f>
        <v>1.1000000000000001</v>
      </c>
      <c r="Q15" s="58">
        <v>0.2</v>
      </c>
      <c r="R15" s="58">
        <f>SUM(R12:R13)</f>
        <v>120</v>
      </c>
      <c r="S15" s="62">
        <f>R15*Q15</f>
        <v>24</v>
      </c>
      <c r="T15" s="189">
        <f t="shared" si="0"/>
        <v>26.400000000000002</v>
      </c>
      <c r="U15" s="61" t="s">
        <v>16</v>
      </c>
    </row>
    <row r="16" spans="1:26" x14ac:dyDescent="0.25">
      <c r="A16" s="50" t="s">
        <v>29</v>
      </c>
      <c r="B16" s="9" t="s">
        <v>3</v>
      </c>
      <c r="C16" s="219">
        <f>'Prices_non-Labor'!$F$11</f>
        <v>1.1000000000000001</v>
      </c>
      <c r="D16" s="61">
        <v>1</v>
      </c>
      <c r="E16" s="57">
        <f>$E$12</f>
        <v>20</v>
      </c>
      <c r="F16" s="9">
        <f t="shared" ref="F16:F22" si="2">SUM(E16*D16)</f>
        <v>20</v>
      </c>
      <c r="G16" s="189">
        <f t="shared" si="1"/>
        <v>22</v>
      </c>
      <c r="H16" s="61" t="s">
        <v>16</v>
      </c>
      <c r="N16" s="50" t="s">
        <v>289</v>
      </c>
      <c r="O16" s="9" t="s">
        <v>3</v>
      </c>
      <c r="P16" s="185">
        <f>'Prices_non-Labor'!$F$11</f>
        <v>1.1000000000000001</v>
      </c>
      <c r="Q16" s="61">
        <v>1</v>
      </c>
      <c r="R16" s="57">
        <f>$E$12</f>
        <v>20</v>
      </c>
      <c r="S16" s="9">
        <f t="shared" ref="S16:S21" si="3">SUM(R16*Q16)</f>
        <v>20</v>
      </c>
      <c r="T16" s="189">
        <f t="shared" si="0"/>
        <v>22</v>
      </c>
      <c r="U16" s="61" t="s">
        <v>16</v>
      </c>
      <c r="Z16" s="8"/>
    </row>
    <row r="17" spans="1:26" x14ac:dyDescent="0.25">
      <c r="A17" s="50" t="s">
        <v>83</v>
      </c>
      <c r="B17" s="9" t="s">
        <v>3</v>
      </c>
      <c r="C17" s="219">
        <f>'Prices_non-Labor'!$F$11</f>
        <v>1.1000000000000001</v>
      </c>
      <c r="D17" s="61">
        <v>1</v>
      </c>
      <c r="E17" s="57">
        <f>$E$13</f>
        <v>400</v>
      </c>
      <c r="F17" s="9">
        <f t="shared" si="2"/>
        <v>400</v>
      </c>
      <c r="G17" s="189">
        <f t="shared" si="1"/>
        <v>440.00000000000006</v>
      </c>
      <c r="H17" s="61" t="s">
        <v>16</v>
      </c>
      <c r="I17" s="205"/>
      <c r="N17" s="50" t="s">
        <v>290</v>
      </c>
      <c r="O17" s="9" t="s">
        <v>3</v>
      </c>
      <c r="P17" s="185">
        <f>'Prices_non-Labor'!$F$11</f>
        <v>1.1000000000000001</v>
      </c>
      <c r="Q17" s="61">
        <v>1</v>
      </c>
      <c r="R17" s="57">
        <f>$E$13</f>
        <v>400</v>
      </c>
      <c r="S17" s="9">
        <f t="shared" si="3"/>
        <v>400</v>
      </c>
      <c r="T17" s="189">
        <f t="shared" si="0"/>
        <v>440.00000000000006</v>
      </c>
      <c r="U17" s="61" t="s">
        <v>16</v>
      </c>
      <c r="V17" s="205"/>
      <c r="Z17" s="8"/>
    </row>
    <row r="18" spans="1:26" x14ac:dyDescent="0.25">
      <c r="A18" s="50" t="s">
        <v>28</v>
      </c>
      <c r="B18" s="9" t="s">
        <v>41</v>
      </c>
      <c r="C18" s="185">
        <f>'Prices_non-Labor'!$F$36</f>
        <v>35.020000000000003</v>
      </c>
      <c r="D18" s="61">
        <v>1</v>
      </c>
      <c r="E18" s="57">
        <f>$E$12</f>
        <v>20</v>
      </c>
      <c r="F18" s="9">
        <f t="shared" si="2"/>
        <v>20</v>
      </c>
      <c r="G18" s="189">
        <f t="shared" si="1"/>
        <v>700.40000000000009</v>
      </c>
      <c r="H18" s="61" t="s">
        <v>16</v>
      </c>
      <c r="N18" s="50" t="s">
        <v>28</v>
      </c>
      <c r="O18" s="9" t="s">
        <v>41</v>
      </c>
      <c r="P18" s="185">
        <f>'Prices_non-Labor'!$F$36</f>
        <v>35.020000000000003</v>
      </c>
      <c r="Q18" s="61">
        <v>1</v>
      </c>
      <c r="R18" s="57">
        <f>$E$12</f>
        <v>20</v>
      </c>
      <c r="S18" s="9">
        <f t="shared" si="3"/>
        <v>20</v>
      </c>
      <c r="T18" s="189">
        <f t="shared" si="0"/>
        <v>700.40000000000009</v>
      </c>
      <c r="U18" s="61" t="s">
        <v>16</v>
      </c>
      <c r="Z18" s="8"/>
    </row>
    <row r="19" spans="1:26" x14ac:dyDescent="0.25">
      <c r="A19" s="50" t="s">
        <v>78</v>
      </c>
      <c r="B19" s="9" t="s">
        <v>41</v>
      </c>
      <c r="C19" s="185">
        <f>'Prices_non-Labor'!$F$36</f>
        <v>35.020000000000003</v>
      </c>
      <c r="D19" s="61">
        <v>1</v>
      </c>
      <c r="E19" s="57">
        <f>$E$13</f>
        <v>400</v>
      </c>
      <c r="F19" s="9">
        <f t="shared" si="2"/>
        <v>400</v>
      </c>
      <c r="G19" s="189">
        <f t="shared" si="1"/>
        <v>14008.000000000002</v>
      </c>
      <c r="H19" s="61" t="s">
        <v>16</v>
      </c>
      <c r="I19" s="205"/>
      <c r="N19" s="50" t="s">
        <v>78</v>
      </c>
      <c r="O19" s="9" t="s">
        <v>41</v>
      </c>
      <c r="P19" s="185">
        <f>'Prices_non-Labor'!$F$36</f>
        <v>35.020000000000003</v>
      </c>
      <c r="Q19" s="61">
        <v>1</v>
      </c>
      <c r="R19" s="57">
        <f>$E$13</f>
        <v>400</v>
      </c>
      <c r="S19" s="9">
        <f t="shared" si="3"/>
        <v>400</v>
      </c>
      <c r="T19" s="189">
        <f t="shared" si="0"/>
        <v>14008.000000000002</v>
      </c>
      <c r="U19" s="61" t="s">
        <v>16</v>
      </c>
      <c r="V19" s="205"/>
      <c r="Z19" s="8"/>
    </row>
    <row r="20" spans="1:26" x14ac:dyDescent="0.25">
      <c r="A20" s="50" t="s">
        <v>28</v>
      </c>
      <c r="B20" s="9" t="s">
        <v>109</v>
      </c>
      <c r="C20" s="185">
        <f>'Prices_non-Labor'!$F$35</f>
        <v>24.72</v>
      </c>
      <c r="D20" s="58">
        <f>$G$10</f>
        <v>3</v>
      </c>
      <c r="E20" s="57">
        <f>$E$12</f>
        <v>20</v>
      </c>
      <c r="F20" s="9">
        <f t="shared" si="2"/>
        <v>60</v>
      </c>
      <c r="G20" s="189">
        <f t="shared" si="1"/>
        <v>1483.1999999999998</v>
      </c>
      <c r="H20" s="61" t="s">
        <v>16</v>
      </c>
      <c r="N20" s="50" t="s">
        <v>28</v>
      </c>
      <c r="O20" s="9" t="s">
        <v>109</v>
      </c>
      <c r="P20" s="185">
        <f>'Prices_non-Labor'!$F$35</f>
        <v>24.72</v>
      </c>
      <c r="Q20" s="61">
        <f>U10</f>
        <v>2</v>
      </c>
      <c r="R20" s="57">
        <f>$E$12</f>
        <v>20</v>
      </c>
      <c r="S20" s="9">
        <f t="shared" si="3"/>
        <v>40</v>
      </c>
      <c r="T20" s="189">
        <f t="shared" si="0"/>
        <v>988.8</v>
      </c>
      <c r="U20" s="61" t="s">
        <v>16</v>
      </c>
      <c r="Z20" s="8"/>
    </row>
    <row r="21" spans="1:26" x14ac:dyDescent="0.25">
      <c r="A21" s="50" t="s">
        <v>78</v>
      </c>
      <c r="B21" s="9" t="s">
        <v>109</v>
      </c>
      <c r="C21" s="185">
        <f>'Prices_non-Labor'!$F$35</f>
        <v>24.72</v>
      </c>
      <c r="D21" s="58">
        <f>$G$10</f>
        <v>3</v>
      </c>
      <c r="E21" s="57">
        <f>$E$13</f>
        <v>400</v>
      </c>
      <c r="F21" s="9">
        <f t="shared" si="2"/>
        <v>1200</v>
      </c>
      <c r="G21" s="189">
        <f t="shared" si="1"/>
        <v>29664</v>
      </c>
      <c r="H21" s="61" t="s">
        <v>16</v>
      </c>
      <c r="N21" s="50" t="s">
        <v>78</v>
      </c>
      <c r="O21" s="9" t="s">
        <v>109</v>
      </c>
      <c r="P21" s="185">
        <f>'Prices_non-Labor'!$F$35</f>
        <v>24.72</v>
      </c>
      <c r="Q21" s="61">
        <f>U10</f>
        <v>2</v>
      </c>
      <c r="R21" s="57">
        <f>$E$13</f>
        <v>400</v>
      </c>
      <c r="S21" s="9">
        <f t="shared" si="3"/>
        <v>800</v>
      </c>
      <c r="T21" s="189">
        <f t="shared" si="0"/>
        <v>19776</v>
      </c>
      <c r="U21" s="61" t="s">
        <v>16</v>
      </c>
      <c r="Z21" s="8"/>
    </row>
    <row r="22" spans="1:26" x14ac:dyDescent="0.25">
      <c r="A22" s="50" t="s">
        <v>39</v>
      </c>
      <c r="B22" s="9" t="s">
        <v>15</v>
      </c>
      <c r="C22" s="185">
        <f>'Prices_non-Labor'!$F$24</f>
        <v>121.00000000000003</v>
      </c>
      <c r="D22" s="58">
        <f>$G$10</f>
        <v>3</v>
      </c>
      <c r="E22" s="57">
        <f>$E$12</f>
        <v>20</v>
      </c>
      <c r="F22" s="9">
        <f t="shared" si="2"/>
        <v>60</v>
      </c>
      <c r="G22" s="189">
        <f t="shared" si="1"/>
        <v>7260.0000000000018</v>
      </c>
      <c r="H22" s="61" t="s">
        <v>16</v>
      </c>
      <c r="N22" s="50" t="s">
        <v>39</v>
      </c>
      <c r="O22" s="9" t="s">
        <v>15</v>
      </c>
      <c r="P22" s="185">
        <f>'Prices_non-Labor'!$F$24</f>
        <v>121.00000000000003</v>
      </c>
      <c r="Q22" s="61">
        <f>U10</f>
        <v>2</v>
      </c>
      <c r="R22" s="57">
        <f>$E$12</f>
        <v>20</v>
      </c>
      <c r="S22" s="9">
        <f>R22*U10</f>
        <v>40</v>
      </c>
      <c r="T22" s="189">
        <f t="shared" si="0"/>
        <v>4840.0000000000009</v>
      </c>
      <c r="U22" s="61" t="s">
        <v>16</v>
      </c>
      <c r="Z22" s="8"/>
    </row>
    <row r="23" spans="1:26" x14ac:dyDescent="0.25">
      <c r="A23" s="168"/>
      <c r="D23" s="8"/>
      <c r="E23" s="149"/>
      <c r="F23" s="174"/>
      <c r="G23" s="64"/>
      <c r="H23" s="64"/>
      <c r="K23" s="72"/>
      <c r="L23" s="64"/>
      <c r="N23" s="168"/>
      <c r="Q23" s="8"/>
      <c r="R23" s="149"/>
      <c r="S23" s="174"/>
      <c r="T23" s="64"/>
      <c r="U23" s="64"/>
      <c r="X23" s="72"/>
      <c r="Y23" s="64"/>
      <c r="Z23" s="8"/>
    </row>
    <row r="24" spans="1:26" ht="15" customHeight="1" x14ac:dyDescent="0.25">
      <c r="A24" s="175" t="s">
        <v>1</v>
      </c>
      <c r="B24" s="176" t="s">
        <v>32</v>
      </c>
      <c r="C24" s="176"/>
      <c r="D24" s="175" t="s">
        <v>69</v>
      </c>
      <c r="E24" s="175"/>
      <c r="F24" s="175"/>
      <c r="G24" s="176" t="s">
        <v>32</v>
      </c>
      <c r="H24" s="175" t="s">
        <v>70</v>
      </c>
      <c r="I24" s="175"/>
      <c r="J24" s="175"/>
      <c r="K24" s="176" t="s">
        <v>32</v>
      </c>
      <c r="L24" s="177" t="s">
        <v>45</v>
      </c>
      <c r="N24" s="175" t="s">
        <v>276</v>
      </c>
      <c r="O24" s="176" t="s">
        <v>32</v>
      </c>
      <c r="P24" s="176"/>
      <c r="Q24" s="175" t="s">
        <v>277</v>
      </c>
      <c r="R24" s="175"/>
      <c r="S24" s="175"/>
      <c r="T24" s="176" t="s">
        <v>32</v>
      </c>
      <c r="U24" s="175" t="s">
        <v>282</v>
      </c>
      <c r="V24" s="175"/>
      <c r="W24" s="175"/>
      <c r="X24" s="176" t="s">
        <v>32</v>
      </c>
      <c r="Y24" s="332" t="s">
        <v>45</v>
      </c>
      <c r="Z24" s="8"/>
    </row>
    <row r="25" spans="1:26" x14ac:dyDescent="0.25">
      <c r="A25" s="59" t="s">
        <v>71</v>
      </c>
      <c r="B25" s="186">
        <f>SUM(G14:G22)</f>
        <v>54224.4</v>
      </c>
      <c r="C25" s="85"/>
      <c r="D25" s="50" t="s">
        <v>55</v>
      </c>
      <c r="E25" s="59"/>
      <c r="F25" s="50"/>
      <c r="G25" s="191">
        <f>B25/'Demographic Data'!$B$2</f>
        <v>542.24400000000003</v>
      </c>
      <c r="H25" s="115" t="s">
        <v>57</v>
      </c>
      <c r="I25" s="116"/>
      <c r="J25" s="117"/>
      <c r="K25" s="71">
        <f>SUMIFS($G$12:$G$22, $B$12:$B$22, "Materials", $H$12:$H$22, "Yes")</f>
        <v>1108.8</v>
      </c>
      <c r="L25" s="97">
        <f>K25/$B$25</f>
        <v>2.0448359041317192E-2</v>
      </c>
      <c r="N25" s="59" t="s">
        <v>291</v>
      </c>
      <c r="O25" s="186">
        <f>SUM(T14:T22)</f>
        <v>40960</v>
      </c>
      <c r="P25" s="85"/>
      <c r="Q25" s="50" t="s">
        <v>278</v>
      </c>
      <c r="R25" s="59"/>
      <c r="S25" s="50"/>
      <c r="T25" s="191">
        <f>O25/'Demographic Data'!$B$2</f>
        <v>409.6</v>
      </c>
      <c r="U25" s="115" t="s">
        <v>283</v>
      </c>
      <c r="V25" s="116"/>
      <c r="W25" s="117"/>
      <c r="X25" s="71">
        <f>SUMIFS($T$12:$T$22, $O$12:$O$22, "Materials", $U$12:$U$22, "Yes")</f>
        <v>646.80000000000007</v>
      </c>
      <c r="Y25" s="97">
        <f>X25/$O$25</f>
        <v>1.5791015625000002E-2</v>
      </c>
      <c r="Z25" s="8"/>
    </row>
    <row r="26" spans="1:26" x14ac:dyDescent="0.25">
      <c r="A26" s="59"/>
      <c r="B26" s="65"/>
      <c r="C26" s="65"/>
      <c r="D26" s="50" t="s">
        <v>56</v>
      </c>
      <c r="E26" s="59"/>
      <c r="F26" s="50"/>
      <c r="G26" s="192">
        <f>B25/'Demographic Data'!$B$3</f>
        <v>5.4224399999999999</v>
      </c>
      <c r="H26" s="115" t="s">
        <v>59</v>
      </c>
      <c r="I26" s="116"/>
      <c r="J26" s="117"/>
      <c r="K26" s="71">
        <f>SUMIFS($G$12:$G$22, $B$12:$B$22, "Transportation", $H$12:$H$22, "Yes")</f>
        <v>14708.400000000001</v>
      </c>
      <c r="L26" s="97">
        <f>K26/$B$25</f>
        <v>0.27125058091929094</v>
      </c>
      <c r="N26" s="59"/>
      <c r="O26" s="65"/>
      <c r="P26" s="65"/>
      <c r="Q26" s="50" t="s">
        <v>279</v>
      </c>
      <c r="R26" s="59"/>
      <c r="S26" s="50"/>
      <c r="T26" s="192">
        <f>O25/'Demographic Data'!$B$3</f>
        <v>4.0960000000000001</v>
      </c>
      <c r="U26" s="115" t="s">
        <v>284</v>
      </c>
      <c r="V26" s="116"/>
      <c r="W26" s="117"/>
      <c r="X26" s="71">
        <f>SUMIFS($T$12:$T$22, $O$12:$O$22, "Transportation", $U$12:$U$22, "Yes")</f>
        <v>14708.400000000001</v>
      </c>
      <c r="Y26" s="97">
        <f>X26/$O$25</f>
        <v>0.35909179687500004</v>
      </c>
      <c r="Z26" s="8"/>
    </row>
    <row r="27" spans="1:26" x14ac:dyDescent="0.25">
      <c r="A27" s="59"/>
      <c r="B27" s="74"/>
      <c r="C27" s="82"/>
      <c r="D27" s="50" t="s">
        <v>58</v>
      </c>
      <c r="E27" s="59"/>
      <c r="F27" s="50"/>
      <c r="G27" s="192">
        <f>B25/'Demographic Data'!$B$4</f>
        <v>1.80748</v>
      </c>
      <c r="H27" s="115" t="s">
        <v>110</v>
      </c>
      <c r="I27" s="116"/>
      <c r="J27" s="117"/>
      <c r="K27" s="71">
        <f>SUMIFS($G$12:$G$22, $B$12:$B$22, "Meals/Per Diem", $H$12:$H$22, "Yes")</f>
        <v>31147.200000000001</v>
      </c>
      <c r="L27" s="97">
        <f>K27/$B$25</f>
        <v>0.5744129948879102</v>
      </c>
      <c r="N27" s="59"/>
      <c r="O27" s="74"/>
      <c r="P27" s="82"/>
      <c r="Q27" s="50" t="s">
        <v>280</v>
      </c>
      <c r="R27" s="59"/>
      <c r="S27" s="50"/>
      <c r="T27" s="192">
        <f>O25/'Demographic Data'!$B$4</f>
        <v>1.3653333333333333</v>
      </c>
      <c r="U27" s="115" t="s">
        <v>285</v>
      </c>
      <c r="V27" s="116"/>
      <c r="W27" s="117"/>
      <c r="X27" s="71">
        <f>SUMIFS($T$12:$T$22, $O$12:$O$22, "Meals/Per Diem", $U$12:$U$22, "Yes")</f>
        <v>20764.8</v>
      </c>
      <c r="Y27" s="97">
        <f>X27/$O$25</f>
        <v>0.506953125</v>
      </c>
      <c r="Z27" s="8"/>
    </row>
    <row r="28" spans="1:26" x14ac:dyDescent="0.25">
      <c r="A28" s="8"/>
      <c r="B28" s="8"/>
      <c r="C28" s="8"/>
      <c r="D28" s="50" t="s">
        <v>60</v>
      </c>
      <c r="E28" s="59"/>
      <c r="F28" s="75"/>
      <c r="G28" s="134">
        <f>B25/'Demographic Data'!$B$5</f>
        <v>4.5186999999999998E-2</v>
      </c>
      <c r="H28" s="433" t="s">
        <v>61</v>
      </c>
      <c r="I28" s="433"/>
      <c r="J28" s="433"/>
      <c r="K28" s="71">
        <f>SUMIFS($G$12:$G$22, $B$12:$B$22, "Facilities", $H$12:$H$22, "Yes")</f>
        <v>7260.0000000000018</v>
      </c>
      <c r="L28" s="97">
        <f>K28/$B$25</f>
        <v>0.13388806515148166</v>
      </c>
      <c r="N28" s="8"/>
      <c r="O28" s="8"/>
      <c r="P28" s="8"/>
      <c r="Q28" s="50" t="s">
        <v>281</v>
      </c>
      <c r="R28" s="59"/>
      <c r="S28" s="75"/>
      <c r="T28" s="134">
        <f>O25/'Demographic Data'!$B$5</f>
        <v>3.4133333333333335E-2</v>
      </c>
      <c r="U28" s="433" t="s">
        <v>286</v>
      </c>
      <c r="V28" s="433"/>
      <c r="W28" s="433"/>
      <c r="X28" s="71">
        <f>SUMIFS($T$12:$T$22, $O$12:$O$22, "Facilities", $U$12:$U$22, "Yes")</f>
        <v>4840.0000000000009</v>
      </c>
      <c r="Y28" s="97">
        <f>X28/$O$25</f>
        <v>0.11816406250000003</v>
      </c>
      <c r="Z28" s="8"/>
    </row>
    <row r="29" spans="1:26" x14ac:dyDescent="0.25">
      <c r="A29" s="8"/>
      <c r="B29" s="8"/>
      <c r="C29" s="8"/>
      <c r="D29" s="168"/>
      <c r="E29" s="8"/>
      <c r="F29" s="49"/>
      <c r="G29" s="73"/>
      <c r="H29" s="182"/>
      <c r="I29" s="432"/>
      <c r="J29" s="432"/>
      <c r="K29" s="432"/>
      <c r="L29" s="299">
        <f>SUM(L25:L28)</f>
        <v>1</v>
      </c>
      <c r="M29" s="282"/>
      <c r="N29" s="8"/>
      <c r="O29" s="8"/>
      <c r="P29" s="8"/>
      <c r="Q29" s="168"/>
      <c r="R29" s="8"/>
      <c r="S29" s="49"/>
      <c r="T29" s="73"/>
      <c r="U29" s="182"/>
      <c r="V29" s="432"/>
      <c r="W29" s="432"/>
      <c r="X29" s="432"/>
      <c r="Y29" s="67">
        <f>SUM(Y25:Y28)</f>
        <v>1</v>
      </c>
      <c r="Z29" s="8"/>
    </row>
    <row r="30" spans="1:26" x14ac:dyDescent="0.25">
      <c r="D30" s="168"/>
      <c r="E30" s="8"/>
      <c r="F30" s="49"/>
      <c r="G30" s="73"/>
      <c r="H30" s="8"/>
      <c r="I30" s="8"/>
      <c r="J30" s="8"/>
      <c r="K30" s="8"/>
      <c r="L30" s="67" t="s">
        <v>1</v>
      </c>
      <c r="M30" s="282"/>
      <c r="Q30" s="168"/>
      <c r="R30" s="8"/>
      <c r="S30" s="49"/>
      <c r="T30" s="73"/>
      <c r="U30" s="8"/>
      <c r="V30" s="8"/>
      <c r="W30" s="8"/>
      <c r="X30" s="8"/>
      <c r="Y30" s="67"/>
      <c r="Z30" s="8"/>
    </row>
    <row r="31" spans="1:26" x14ac:dyDescent="0.25">
      <c r="A31" s="8"/>
      <c r="B31" s="8"/>
      <c r="C31" s="8"/>
      <c r="D31" s="183"/>
      <c r="E31" s="70"/>
      <c r="F31" s="184"/>
      <c r="G31" s="8"/>
      <c r="H31" s="70"/>
      <c r="I31" s="70"/>
      <c r="J31" s="70"/>
      <c r="K31" s="145"/>
      <c r="L31" s="103"/>
      <c r="M31" s="283"/>
      <c r="N31" s="8"/>
      <c r="O31" s="8"/>
      <c r="P31" s="8"/>
      <c r="Q31" s="183"/>
      <c r="R31" s="70"/>
      <c r="S31" s="184"/>
      <c r="T31" s="8"/>
      <c r="U31" s="70"/>
      <c r="V31" s="70"/>
      <c r="W31" s="70"/>
      <c r="X31" s="145"/>
      <c r="Y31" s="103"/>
    </row>
    <row r="32" spans="1:26" x14ac:dyDescent="0.25">
      <c r="A32" s="8"/>
      <c r="B32" s="8"/>
      <c r="C32" s="8"/>
      <c r="D32" s="8"/>
      <c r="E32" s="70"/>
      <c r="F32" s="184"/>
      <c r="G32" s="8"/>
      <c r="H32" s="70"/>
      <c r="I32" s="70"/>
      <c r="J32" s="70"/>
      <c r="K32" s="145"/>
      <c r="L32" s="103"/>
      <c r="M32" s="283"/>
      <c r="N32" s="8"/>
      <c r="O32" s="8"/>
      <c r="P32" s="8"/>
      <c r="Q32" s="8"/>
      <c r="R32" s="70"/>
      <c r="S32" s="184"/>
      <c r="T32" s="8"/>
      <c r="U32" s="70"/>
      <c r="V32" s="70"/>
      <c r="W32" s="70"/>
      <c r="X32" s="145"/>
      <c r="Y32" s="103"/>
    </row>
    <row r="33" spans="1:25" x14ac:dyDescent="0.25">
      <c r="A33" s="343" t="s">
        <v>189</v>
      </c>
      <c r="B33" s="10" t="s">
        <v>217</v>
      </c>
      <c r="C33" s="10">
        <v>0.1</v>
      </c>
      <c r="D33" s="10" t="s">
        <v>218</v>
      </c>
      <c r="E33" s="277">
        <v>0.9</v>
      </c>
      <c r="F33" s="10" t="s">
        <v>74</v>
      </c>
      <c r="G33" s="298">
        <f>G5</f>
        <v>2</v>
      </c>
      <c r="H33" s="8"/>
      <c r="I33" s="8"/>
      <c r="J33" s="8"/>
      <c r="K33" s="8"/>
      <c r="L33" s="67"/>
      <c r="M33" s="283"/>
      <c r="N33" s="329" t="s">
        <v>309</v>
      </c>
      <c r="O33" s="10" t="s">
        <v>217</v>
      </c>
      <c r="P33" s="277">
        <v>0.1</v>
      </c>
      <c r="Q33" s="10" t="s">
        <v>218</v>
      </c>
      <c r="R33" s="277">
        <v>0.9</v>
      </c>
      <c r="S33" s="10" t="s">
        <v>74</v>
      </c>
      <c r="T33" s="329">
        <f>T4</f>
        <v>3</v>
      </c>
      <c r="U33" s="8"/>
      <c r="V33" s="8"/>
      <c r="W33" s="8"/>
      <c r="X33" s="8"/>
      <c r="Y33" s="67"/>
    </row>
    <row r="34" spans="1:25" ht="30" x14ac:dyDescent="0.25">
      <c r="A34" s="142" t="s">
        <v>1</v>
      </c>
      <c r="B34" s="144" t="s">
        <v>0</v>
      </c>
      <c r="C34" s="143" t="s">
        <v>134</v>
      </c>
      <c r="D34" s="143" t="s">
        <v>25</v>
      </c>
      <c r="E34" s="143" t="s">
        <v>20</v>
      </c>
      <c r="F34" s="143" t="s">
        <v>21</v>
      </c>
      <c r="G34" s="143" t="s">
        <v>114</v>
      </c>
      <c r="H34" s="143" t="s">
        <v>17</v>
      </c>
      <c r="I34" s="41"/>
      <c r="J34" s="48"/>
      <c r="N34" s="142" t="s">
        <v>1</v>
      </c>
      <c r="O34" s="144" t="s">
        <v>0</v>
      </c>
      <c r="P34" s="143" t="s">
        <v>134</v>
      </c>
      <c r="Q34" s="143" t="s">
        <v>25</v>
      </c>
      <c r="R34" s="143" t="s">
        <v>20</v>
      </c>
      <c r="S34" s="143" t="s">
        <v>21</v>
      </c>
      <c r="T34" s="143" t="s">
        <v>114</v>
      </c>
      <c r="U34" s="143" t="s">
        <v>17</v>
      </c>
      <c r="V34" s="41"/>
      <c r="W34" s="48"/>
    </row>
    <row r="35" spans="1:25" x14ac:dyDescent="0.25">
      <c r="A35" s="128" t="s">
        <v>84</v>
      </c>
      <c r="B35" s="129"/>
      <c r="C35" s="130"/>
      <c r="D35" s="129">
        <f>G33</f>
        <v>2</v>
      </c>
      <c r="E35" s="190">
        <v>400</v>
      </c>
      <c r="F35" s="130">
        <f>D35*E35</f>
        <v>800</v>
      </c>
      <c r="G35" s="187"/>
      <c r="H35" s="188" t="s">
        <v>18</v>
      </c>
      <c r="N35" s="128" t="s">
        <v>267</v>
      </c>
      <c r="O35" s="129"/>
      <c r="P35" s="130"/>
      <c r="Q35" s="129">
        <f>T33</f>
        <v>3</v>
      </c>
      <c r="R35" s="190">
        <v>100</v>
      </c>
      <c r="S35" s="130">
        <f>Q35*R35</f>
        <v>300</v>
      </c>
      <c r="T35" s="187"/>
      <c r="U35" s="188" t="s">
        <v>18</v>
      </c>
    </row>
    <row r="36" spans="1:25" x14ac:dyDescent="0.25">
      <c r="A36" s="129" t="s">
        <v>85</v>
      </c>
      <c r="B36" s="129"/>
      <c r="C36" s="130"/>
      <c r="D36" s="129">
        <f>G33</f>
        <v>2</v>
      </c>
      <c r="E36" s="130">
        <f>'Demographic Data'!B6</f>
        <v>1000</v>
      </c>
      <c r="F36" s="130">
        <f>D36*E36</f>
        <v>2000</v>
      </c>
      <c r="G36" s="187"/>
      <c r="H36" s="188" t="s">
        <v>18</v>
      </c>
      <c r="I36" s="41"/>
      <c r="J36" s="41"/>
      <c r="N36" s="129" t="s">
        <v>85</v>
      </c>
      <c r="O36" s="129"/>
      <c r="P36" s="130"/>
      <c r="Q36" s="129">
        <f>T33</f>
        <v>3</v>
      </c>
      <c r="R36" s="130">
        <f>'Demographic Data'!$B$6</f>
        <v>1000</v>
      </c>
      <c r="S36" s="130">
        <f>Q36*R36</f>
        <v>3000</v>
      </c>
      <c r="T36" s="187"/>
      <c r="U36" s="188" t="s">
        <v>18</v>
      </c>
      <c r="V36" s="41"/>
      <c r="W36" s="41"/>
    </row>
    <row r="37" spans="1:25" x14ac:dyDescent="0.25">
      <c r="A37" s="129" t="s">
        <v>30</v>
      </c>
      <c r="B37" s="129"/>
      <c r="C37" s="130"/>
      <c r="D37" s="129">
        <f>G33</f>
        <v>2</v>
      </c>
      <c r="E37" s="130">
        <f>'Demographic Data'!B3</f>
        <v>10000</v>
      </c>
      <c r="F37" s="130">
        <f>D37*E37</f>
        <v>20000</v>
      </c>
      <c r="G37" s="187"/>
      <c r="H37" s="188" t="s">
        <v>18</v>
      </c>
      <c r="I37" s="41"/>
      <c r="J37" s="41"/>
      <c r="N37" s="50" t="s">
        <v>26</v>
      </c>
      <c r="O37" s="9" t="s">
        <v>3</v>
      </c>
      <c r="P37" s="185">
        <f>'Prices_non-Labor'!F12</f>
        <v>1.32</v>
      </c>
      <c r="Q37" s="53">
        <v>1</v>
      </c>
      <c r="R37" s="51">
        <f>R36*Q37</f>
        <v>1000</v>
      </c>
      <c r="S37" s="51">
        <f>R37*Q37</f>
        <v>1000</v>
      </c>
      <c r="T37" s="189">
        <f t="shared" ref="T37:T49" si="4">S37*P37</f>
        <v>1320</v>
      </c>
      <c r="U37" s="61" t="s">
        <v>16</v>
      </c>
      <c r="V37" s="137"/>
      <c r="W37" s="41"/>
    </row>
    <row r="38" spans="1:25" x14ac:dyDescent="0.25">
      <c r="A38" s="129" t="s">
        <v>19</v>
      </c>
      <c r="B38" s="129"/>
      <c r="C38" s="130"/>
      <c r="D38" s="129">
        <f>G33</f>
        <v>2</v>
      </c>
      <c r="E38" s="130">
        <f>'Demographic Data'!B4</f>
        <v>30000</v>
      </c>
      <c r="F38" s="130">
        <f>D38*E38</f>
        <v>60000</v>
      </c>
      <c r="G38" s="187"/>
      <c r="H38" s="188" t="s">
        <v>18</v>
      </c>
      <c r="I38" s="41"/>
      <c r="J38" s="41"/>
      <c r="N38" s="50" t="s">
        <v>79</v>
      </c>
      <c r="O38" s="9" t="s">
        <v>3</v>
      </c>
      <c r="P38" s="185">
        <f>'Prices_non-Labor'!$F$13</f>
        <v>1.1000000000000001</v>
      </c>
      <c r="Q38" s="53">
        <v>0.2</v>
      </c>
      <c r="R38" s="51">
        <f>SUM(R35:R36)</f>
        <v>1100</v>
      </c>
      <c r="S38" s="51">
        <f>R38*Q38</f>
        <v>220</v>
      </c>
      <c r="T38" s="189">
        <f t="shared" si="4"/>
        <v>242.00000000000003</v>
      </c>
      <c r="U38" s="61" t="s">
        <v>16</v>
      </c>
      <c r="V38" s="137"/>
      <c r="W38" s="41"/>
    </row>
    <row r="39" spans="1:25" x14ac:dyDescent="0.25">
      <c r="A39" s="50" t="s">
        <v>26</v>
      </c>
      <c r="B39" s="9" t="s">
        <v>3</v>
      </c>
      <c r="C39" s="219">
        <f>'Prices_non-Labor'!$F$12</f>
        <v>1.32</v>
      </c>
      <c r="D39" s="53">
        <v>0.2</v>
      </c>
      <c r="E39" s="51">
        <f>SUM(E35+E36+E37+E38)</f>
        <v>41400</v>
      </c>
      <c r="F39" s="51">
        <f>E39*D39</f>
        <v>8280</v>
      </c>
      <c r="G39" s="189">
        <f>F39*C39</f>
        <v>10929.6</v>
      </c>
      <c r="H39" s="61" t="s">
        <v>16</v>
      </c>
      <c r="I39" s="137"/>
      <c r="J39" s="41"/>
      <c r="N39" s="50" t="s">
        <v>292</v>
      </c>
      <c r="O39" s="9" t="s">
        <v>3</v>
      </c>
      <c r="P39" s="185">
        <f>'Prices_non-Labor'!$F$11</f>
        <v>1.1000000000000001</v>
      </c>
      <c r="Q39" s="9">
        <v>0</v>
      </c>
      <c r="R39" s="65">
        <f>$E$35</f>
        <v>400</v>
      </c>
      <c r="S39" s="51">
        <f t="shared" ref="S39:S43" si="5">Q39*R39</f>
        <v>0</v>
      </c>
      <c r="T39" s="189">
        <f t="shared" si="4"/>
        <v>0</v>
      </c>
      <c r="U39" s="61" t="s">
        <v>16</v>
      </c>
      <c r="V39" s="41"/>
      <c r="W39" s="41"/>
    </row>
    <row r="40" spans="1:25" x14ac:dyDescent="0.25">
      <c r="A40" s="50" t="s">
        <v>79</v>
      </c>
      <c r="B40" s="9" t="s">
        <v>3</v>
      </c>
      <c r="C40" s="219">
        <f>'Prices_non-Labor'!$F$13</f>
        <v>1.1000000000000001</v>
      </c>
      <c r="D40" s="53">
        <v>0.2</v>
      </c>
      <c r="E40" s="51">
        <f>SUM(E35:E38)</f>
        <v>41400</v>
      </c>
      <c r="F40" s="51">
        <f>E40*D40</f>
        <v>8280</v>
      </c>
      <c r="G40" s="189">
        <f t="shared" ref="G40:G61" si="6">F40*C40</f>
        <v>9108</v>
      </c>
      <c r="H40" s="61" t="s">
        <v>16</v>
      </c>
      <c r="I40" s="137"/>
      <c r="J40" s="41"/>
      <c r="N40" s="9" t="s">
        <v>293</v>
      </c>
      <c r="O40" s="9" t="s">
        <v>3</v>
      </c>
      <c r="P40" s="185">
        <f>'Prices_non-Labor'!$F$11</f>
        <v>1.1000000000000001</v>
      </c>
      <c r="Q40" s="9">
        <v>1</v>
      </c>
      <c r="R40" s="65">
        <f>$E$36</f>
        <v>1000</v>
      </c>
      <c r="S40" s="51">
        <f t="shared" si="5"/>
        <v>1000</v>
      </c>
      <c r="T40" s="189">
        <f t="shared" si="4"/>
        <v>1100</v>
      </c>
      <c r="U40" s="61" t="s">
        <v>16</v>
      </c>
      <c r="V40" s="41"/>
      <c r="W40" s="41"/>
    </row>
    <row r="41" spans="1:25" x14ac:dyDescent="0.25">
      <c r="A41" s="50" t="s">
        <v>83</v>
      </c>
      <c r="B41" s="9" t="s">
        <v>3</v>
      </c>
      <c r="C41" s="219">
        <f>'Prices_non-Labor'!$F$11</f>
        <v>1.1000000000000001</v>
      </c>
      <c r="D41" s="9">
        <v>1</v>
      </c>
      <c r="E41" s="65">
        <f>$E$35</f>
        <v>400</v>
      </c>
      <c r="F41" s="51">
        <f t="shared" ref="F41:F47" si="7">D41*E41</f>
        <v>400</v>
      </c>
      <c r="G41" s="189">
        <f t="shared" si="6"/>
        <v>440.00000000000006</v>
      </c>
      <c r="H41" s="61" t="s">
        <v>16</v>
      </c>
      <c r="I41" s="41"/>
      <c r="J41" s="41"/>
      <c r="N41" s="50" t="s">
        <v>201</v>
      </c>
      <c r="O41" s="9" t="s">
        <v>41</v>
      </c>
      <c r="P41" s="186">
        <f>'Prices_non-Labor'!$F$30</f>
        <v>13.905000000000001</v>
      </c>
      <c r="Q41" s="52">
        <f>$T$33</f>
        <v>3</v>
      </c>
      <c r="R41" s="105">
        <f>$E$35*$E$33</f>
        <v>360</v>
      </c>
      <c r="S41" s="133">
        <f t="shared" si="5"/>
        <v>1080</v>
      </c>
      <c r="T41" s="189">
        <f t="shared" si="4"/>
        <v>15017.400000000001</v>
      </c>
      <c r="U41" s="61" t="s">
        <v>16</v>
      </c>
      <c r="V41" s="41"/>
      <c r="W41" s="41"/>
    </row>
    <row r="42" spans="1:25" x14ac:dyDescent="0.25">
      <c r="A42" s="9" t="s">
        <v>86</v>
      </c>
      <c r="B42" s="9" t="s">
        <v>3</v>
      </c>
      <c r="C42" s="219">
        <f>'Prices_non-Labor'!$F$11</f>
        <v>1.1000000000000001</v>
      </c>
      <c r="D42" s="9">
        <v>0.2</v>
      </c>
      <c r="E42" s="65">
        <f>$E$36</f>
        <v>1000</v>
      </c>
      <c r="F42" s="51">
        <f t="shared" si="7"/>
        <v>200</v>
      </c>
      <c r="G42" s="189">
        <f t="shared" si="6"/>
        <v>220.00000000000003</v>
      </c>
      <c r="H42" s="61" t="s">
        <v>16</v>
      </c>
      <c r="I42" s="41"/>
      <c r="J42" s="41"/>
      <c r="N42" s="50" t="s">
        <v>203</v>
      </c>
      <c r="O42" s="9" t="s">
        <v>41</v>
      </c>
      <c r="P42" s="186">
        <f>'Prices_non-Labor'!$F$36</f>
        <v>35.020000000000003</v>
      </c>
      <c r="Q42" s="9">
        <v>1</v>
      </c>
      <c r="R42" s="105">
        <f>$E$35*$C$33</f>
        <v>40</v>
      </c>
      <c r="S42" s="51">
        <f t="shared" si="5"/>
        <v>40</v>
      </c>
      <c r="T42" s="189">
        <f t="shared" si="4"/>
        <v>1400.8000000000002</v>
      </c>
      <c r="U42" s="61" t="s">
        <v>16</v>
      </c>
      <c r="V42" s="41"/>
      <c r="W42" s="41"/>
      <c r="X42" s="8"/>
    </row>
    <row r="43" spans="1:25" x14ac:dyDescent="0.25">
      <c r="A43" s="9" t="s">
        <v>31</v>
      </c>
      <c r="B43" s="9" t="s">
        <v>3</v>
      </c>
      <c r="C43" s="219">
        <f>'Prices_non-Labor'!$F$11</f>
        <v>1.1000000000000001</v>
      </c>
      <c r="D43" s="9">
        <v>0.2</v>
      </c>
      <c r="E43" s="65">
        <f>$E$37</f>
        <v>10000</v>
      </c>
      <c r="F43" s="51">
        <f t="shared" si="7"/>
        <v>2000</v>
      </c>
      <c r="G43" s="189">
        <f t="shared" si="6"/>
        <v>2200</v>
      </c>
      <c r="H43" s="61" t="s">
        <v>16</v>
      </c>
      <c r="I43" s="41"/>
      <c r="J43" s="41"/>
      <c r="N43" s="9" t="s">
        <v>198</v>
      </c>
      <c r="O43" s="9" t="s">
        <v>41</v>
      </c>
      <c r="P43" s="186">
        <f>'Prices_non-Labor'!$E$30</f>
        <v>13.5</v>
      </c>
      <c r="Q43" s="52">
        <f>$T$33</f>
        <v>3</v>
      </c>
      <c r="R43" s="105">
        <f>R36*$E$33</f>
        <v>900</v>
      </c>
      <c r="S43" s="51">
        <f t="shared" si="5"/>
        <v>2700</v>
      </c>
      <c r="T43" s="189">
        <f t="shared" si="4"/>
        <v>36450</v>
      </c>
      <c r="U43" s="61" t="s">
        <v>16</v>
      </c>
      <c r="V43" s="41"/>
      <c r="W43" s="41"/>
    </row>
    <row r="44" spans="1:25" x14ac:dyDescent="0.25">
      <c r="A44" s="9" t="s">
        <v>27</v>
      </c>
      <c r="B44" s="9" t="s">
        <v>3</v>
      </c>
      <c r="C44" s="219">
        <f>'Prices_non-Labor'!$F$11</f>
        <v>1.1000000000000001</v>
      </c>
      <c r="D44" s="9">
        <v>0.2</v>
      </c>
      <c r="E44" s="65">
        <f>$E$38</f>
        <v>30000</v>
      </c>
      <c r="F44" s="51">
        <f t="shared" si="7"/>
        <v>6000</v>
      </c>
      <c r="G44" s="189">
        <f t="shared" si="6"/>
        <v>6600.0000000000009</v>
      </c>
      <c r="H44" s="61" t="s">
        <v>16</v>
      </c>
      <c r="I44" s="41"/>
      <c r="J44" s="41"/>
      <c r="N44" s="9" t="s">
        <v>204</v>
      </c>
      <c r="O44" s="9" t="s">
        <v>41</v>
      </c>
      <c r="P44" s="186">
        <f>'Prices_non-Labor'!$F$36</f>
        <v>35.020000000000003</v>
      </c>
      <c r="Q44" s="9">
        <v>1</v>
      </c>
      <c r="R44" s="45">
        <f>$E$36*P33</f>
        <v>100</v>
      </c>
      <c r="S44" s="65">
        <f>R44*Q44</f>
        <v>100</v>
      </c>
      <c r="T44" s="189">
        <f t="shared" si="4"/>
        <v>3502.0000000000005</v>
      </c>
      <c r="U44" s="61" t="s">
        <v>16</v>
      </c>
      <c r="V44" s="41"/>
      <c r="W44" s="41"/>
    </row>
    <row r="45" spans="1:25" x14ac:dyDescent="0.25">
      <c r="A45" s="50" t="s">
        <v>201</v>
      </c>
      <c r="B45" s="9" t="s">
        <v>41</v>
      </c>
      <c r="C45" s="218">
        <f>'Prices_non-Labor'!$F$30</f>
        <v>13.905000000000001</v>
      </c>
      <c r="D45" s="52">
        <f>$G$33</f>
        <v>2</v>
      </c>
      <c r="E45" s="105">
        <f>E35*E33</f>
        <v>360</v>
      </c>
      <c r="F45" s="133">
        <f t="shared" si="7"/>
        <v>720</v>
      </c>
      <c r="G45" s="189">
        <f t="shared" si="6"/>
        <v>10011.6</v>
      </c>
      <c r="H45" s="61" t="s">
        <v>16</v>
      </c>
      <c r="I45" s="41"/>
      <c r="J45" s="41"/>
      <c r="N45" s="50" t="s">
        <v>201</v>
      </c>
      <c r="O45" s="9" t="s">
        <v>109</v>
      </c>
      <c r="P45" s="65">
        <f>'Prices_non-Labor'!$F$29</f>
        <v>6.6950000000000003</v>
      </c>
      <c r="Q45" s="52">
        <f>$T$33</f>
        <v>3</v>
      </c>
      <c r="R45" s="105">
        <f>$E$35*$E$33</f>
        <v>360</v>
      </c>
      <c r="S45" s="133">
        <f>Q45*R45</f>
        <v>1080</v>
      </c>
      <c r="T45" s="189">
        <f t="shared" si="4"/>
        <v>7230.6</v>
      </c>
      <c r="U45" s="61" t="s">
        <v>16</v>
      </c>
      <c r="V45" s="54"/>
      <c r="W45" s="54"/>
    </row>
    <row r="46" spans="1:25" x14ac:dyDescent="0.25">
      <c r="A46" s="50" t="s">
        <v>203</v>
      </c>
      <c r="B46" s="9" t="s">
        <v>41</v>
      </c>
      <c r="C46" s="185">
        <f>'Prices_non-Labor'!$F$36</f>
        <v>35.020000000000003</v>
      </c>
      <c r="D46" s="9">
        <v>1</v>
      </c>
      <c r="E46" s="65">
        <f>$E$35*C33</f>
        <v>40</v>
      </c>
      <c r="F46" s="51">
        <f t="shared" si="7"/>
        <v>40</v>
      </c>
      <c r="G46" s="189">
        <f t="shared" si="6"/>
        <v>1400.8000000000002</v>
      </c>
      <c r="H46" s="61" t="s">
        <v>16</v>
      </c>
      <c r="I46" s="41"/>
      <c r="J46" s="41"/>
      <c r="N46" s="50" t="s">
        <v>203</v>
      </c>
      <c r="O46" s="9" t="s">
        <v>109</v>
      </c>
      <c r="P46" s="65">
        <f>'Prices_non-Labor'!$F$35</f>
        <v>24.72</v>
      </c>
      <c r="Q46" s="52">
        <f t="shared" ref="Q46:Q49" si="8">$T$33</f>
        <v>3</v>
      </c>
      <c r="R46" s="65">
        <f>$E$35*P33</f>
        <v>40</v>
      </c>
      <c r="S46" s="51">
        <f>Q46*R46</f>
        <v>120</v>
      </c>
      <c r="T46" s="189">
        <f t="shared" si="4"/>
        <v>2966.3999999999996</v>
      </c>
      <c r="U46" s="61" t="s">
        <v>16</v>
      </c>
      <c r="V46" s="54"/>
      <c r="W46" s="54"/>
    </row>
    <row r="47" spans="1:25" x14ac:dyDescent="0.25">
      <c r="A47" s="9" t="s">
        <v>198</v>
      </c>
      <c r="B47" s="9" t="s">
        <v>41</v>
      </c>
      <c r="C47" s="218">
        <f>'Prices_non-Labor'!$F$30</f>
        <v>13.905000000000001</v>
      </c>
      <c r="D47" s="52">
        <f>$G$33</f>
        <v>2</v>
      </c>
      <c r="E47" s="65">
        <f>$E$36*E33</f>
        <v>900</v>
      </c>
      <c r="F47" s="51">
        <f t="shared" si="7"/>
        <v>1800</v>
      </c>
      <c r="G47" s="189">
        <f t="shared" si="6"/>
        <v>25029.000000000004</v>
      </c>
      <c r="H47" s="61" t="s">
        <v>16</v>
      </c>
      <c r="I47" s="41"/>
      <c r="J47" s="41"/>
      <c r="N47" s="9" t="s">
        <v>198</v>
      </c>
      <c r="O47" s="9" t="s">
        <v>109</v>
      </c>
      <c r="P47" s="65">
        <f>'Prices_non-Labor'!$F$29</f>
        <v>6.6950000000000003</v>
      </c>
      <c r="Q47" s="52">
        <f t="shared" si="8"/>
        <v>3</v>
      </c>
      <c r="R47" s="65">
        <f>$E$36*R33</f>
        <v>900</v>
      </c>
      <c r="S47" s="51">
        <f>Q47*R47</f>
        <v>2700</v>
      </c>
      <c r="T47" s="189">
        <f t="shared" si="4"/>
        <v>18076.5</v>
      </c>
      <c r="U47" s="61" t="s">
        <v>16</v>
      </c>
      <c r="V47" s="135"/>
      <c r="W47" s="69"/>
      <c r="X47" s="8"/>
      <c r="Y47" s="8"/>
    </row>
    <row r="48" spans="1:25" x14ac:dyDescent="0.25">
      <c r="A48" s="9" t="s">
        <v>204</v>
      </c>
      <c r="B48" s="9" t="s">
        <v>41</v>
      </c>
      <c r="C48" s="185">
        <f>'Prices_non-Labor'!$F$36</f>
        <v>35.020000000000003</v>
      </c>
      <c r="D48" s="9">
        <v>1</v>
      </c>
      <c r="E48" s="45">
        <f>$E$36*C33</f>
        <v>100</v>
      </c>
      <c r="F48" s="65">
        <f>E48*D48</f>
        <v>100</v>
      </c>
      <c r="G48" s="189">
        <f t="shared" si="6"/>
        <v>3502.0000000000005</v>
      </c>
      <c r="H48" s="61" t="s">
        <v>16</v>
      </c>
      <c r="I48" s="41"/>
      <c r="J48" s="41"/>
      <c r="N48" s="9" t="s">
        <v>204</v>
      </c>
      <c r="O48" s="9" t="s">
        <v>109</v>
      </c>
      <c r="P48" s="65">
        <f>'Prices_non-Labor'!$F$35</f>
        <v>24.72</v>
      </c>
      <c r="Q48" s="52">
        <f t="shared" si="8"/>
        <v>3</v>
      </c>
      <c r="R48" s="45">
        <f>$E$36*P33</f>
        <v>100</v>
      </c>
      <c r="S48" s="65">
        <f>R48*Q48</f>
        <v>300</v>
      </c>
      <c r="T48" s="189">
        <f t="shared" si="4"/>
        <v>7416</v>
      </c>
      <c r="U48" s="61" t="s">
        <v>16</v>
      </c>
      <c r="V48" s="135"/>
      <c r="W48" s="69"/>
      <c r="X48" s="8"/>
      <c r="Y48" s="8"/>
    </row>
    <row r="49" spans="1:26" x14ac:dyDescent="0.25">
      <c r="A49" s="9" t="s">
        <v>199</v>
      </c>
      <c r="B49" s="9" t="s">
        <v>41</v>
      </c>
      <c r="C49" s="218">
        <f>'Prices_non-Labor'!$F$30</f>
        <v>13.905000000000001</v>
      </c>
      <c r="D49" s="52">
        <f>$G$33</f>
        <v>2</v>
      </c>
      <c r="E49" s="65">
        <f>$E$37*E33</f>
        <v>9000</v>
      </c>
      <c r="F49" s="51">
        <f>D49*E49</f>
        <v>18000</v>
      </c>
      <c r="G49" s="189">
        <f t="shared" si="6"/>
        <v>250290.00000000003</v>
      </c>
      <c r="H49" s="61" t="s">
        <v>16</v>
      </c>
      <c r="I49" s="41"/>
      <c r="J49" s="41"/>
      <c r="N49" s="9" t="s">
        <v>39</v>
      </c>
      <c r="O49" s="9" t="s">
        <v>15</v>
      </c>
      <c r="P49" s="185">
        <f>'Prices_non-Labor'!$F$24</f>
        <v>121.00000000000003</v>
      </c>
      <c r="Q49" s="52">
        <f t="shared" si="8"/>
        <v>3</v>
      </c>
      <c r="R49" s="59">
        <v>400</v>
      </c>
      <c r="S49" s="65">
        <f>Q49*R49</f>
        <v>1200</v>
      </c>
      <c r="T49" s="189">
        <f t="shared" si="4"/>
        <v>145200.00000000003</v>
      </c>
      <c r="U49" s="61" t="s">
        <v>16</v>
      </c>
      <c r="V49" s="131"/>
      <c r="W49" s="131"/>
      <c r="X49" s="8"/>
      <c r="Y49" s="8"/>
    </row>
    <row r="50" spans="1:26" x14ac:dyDescent="0.25">
      <c r="A50" s="9" t="s">
        <v>205</v>
      </c>
      <c r="B50" s="9" t="s">
        <v>41</v>
      </c>
      <c r="C50" s="185">
        <f>'Prices_non-Labor'!$F$36</f>
        <v>35.020000000000003</v>
      </c>
      <c r="D50" s="9">
        <v>1</v>
      </c>
      <c r="E50" s="45">
        <f>$E$37*C33</f>
        <v>1000</v>
      </c>
      <c r="F50" s="65">
        <f>E50*D50</f>
        <v>1000</v>
      </c>
      <c r="G50" s="189">
        <f t="shared" si="6"/>
        <v>35020</v>
      </c>
      <c r="H50" s="61" t="s">
        <v>16</v>
      </c>
      <c r="I50" s="41"/>
      <c r="J50" s="41"/>
      <c r="Q50" s="103"/>
      <c r="R50" s="70"/>
      <c r="S50" s="126"/>
      <c r="U50" s="8"/>
      <c r="V50" s="72"/>
      <c r="W50" s="72"/>
      <c r="X50" s="127"/>
      <c r="Y50" s="64"/>
    </row>
    <row r="51" spans="1:26" ht="30" x14ac:dyDescent="0.25">
      <c r="A51" s="9" t="s">
        <v>200</v>
      </c>
      <c r="B51" s="9" t="s">
        <v>41</v>
      </c>
      <c r="C51" s="218">
        <f>'Prices_non-Labor'!$F$30</f>
        <v>13.905000000000001</v>
      </c>
      <c r="D51" s="52">
        <f>$G$33</f>
        <v>2</v>
      </c>
      <c r="E51" s="65">
        <f>$E$38*E33</f>
        <v>27000</v>
      </c>
      <c r="F51" s="51">
        <f>D51*E51</f>
        <v>54000</v>
      </c>
      <c r="G51" s="189">
        <f t="shared" si="6"/>
        <v>750870.00000000012</v>
      </c>
      <c r="H51" s="61" t="s">
        <v>16</v>
      </c>
      <c r="I51" s="41"/>
      <c r="J51" s="41"/>
      <c r="N51" s="178" t="s">
        <v>1</v>
      </c>
      <c r="O51" s="176" t="s">
        <v>32</v>
      </c>
      <c r="P51" s="176"/>
      <c r="Q51" s="178" t="s">
        <v>1</v>
      </c>
      <c r="R51" s="179"/>
      <c r="S51" s="179"/>
      <c r="T51" s="180" t="s">
        <v>32</v>
      </c>
      <c r="U51" s="178" t="s">
        <v>1</v>
      </c>
      <c r="V51" s="179"/>
      <c r="W51" s="179"/>
      <c r="X51" s="175" t="s">
        <v>32</v>
      </c>
      <c r="Y51" s="332" t="s">
        <v>45</v>
      </c>
    </row>
    <row r="52" spans="1:26" x14ac:dyDescent="0.25">
      <c r="A52" s="9" t="s">
        <v>206</v>
      </c>
      <c r="B52" s="9" t="s">
        <v>41</v>
      </c>
      <c r="C52" s="185">
        <f>'Prices_non-Labor'!$F$36</f>
        <v>35.020000000000003</v>
      </c>
      <c r="D52" s="9">
        <v>1</v>
      </c>
      <c r="E52" s="45">
        <f>$E$38*C33</f>
        <v>3000</v>
      </c>
      <c r="F52" s="51">
        <f>D52*E52</f>
        <v>3000</v>
      </c>
      <c r="G52" s="189">
        <f t="shared" si="6"/>
        <v>105060.00000000001</v>
      </c>
      <c r="H52" s="61" t="s">
        <v>16</v>
      </c>
      <c r="I52" s="54" t="s">
        <v>1</v>
      </c>
      <c r="J52" s="54"/>
      <c r="N52" s="59" t="s">
        <v>268</v>
      </c>
      <c r="O52" s="186">
        <f>SUM(T37:T49)</f>
        <v>239921.7</v>
      </c>
      <c r="P52" s="79"/>
      <c r="Q52" s="427" t="s">
        <v>269</v>
      </c>
      <c r="R52" s="428"/>
      <c r="S52" s="429"/>
      <c r="T52" s="84">
        <f>O52/'Demographic Data'!$B$3</f>
        <v>23.992170000000002</v>
      </c>
      <c r="U52" s="115" t="s">
        <v>272</v>
      </c>
      <c r="V52" s="116"/>
      <c r="W52" s="117"/>
      <c r="X52" s="71">
        <f>SUMIFS($T$37:$T$49, $O$37:$O$49, "Materials", $U$37:$U$49, "Yes")</f>
        <v>2662</v>
      </c>
      <c r="Y52" s="97">
        <f>X52/$O$52</f>
        <v>1.109528650388856E-2</v>
      </c>
    </row>
    <row r="53" spans="1:26" x14ac:dyDescent="0.25">
      <c r="A53" s="50" t="s">
        <v>201</v>
      </c>
      <c r="B53" s="9" t="s">
        <v>109</v>
      </c>
      <c r="C53" s="76">
        <f>'Prices_non-Labor'!$F$29</f>
        <v>6.6950000000000003</v>
      </c>
      <c r="D53" s="52">
        <f>$G$33</f>
        <v>2</v>
      </c>
      <c r="E53" s="105">
        <f>$E$35*E33</f>
        <v>360</v>
      </c>
      <c r="F53" s="133">
        <f>D53*E53</f>
        <v>720</v>
      </c>
      <c r="G53" s="189">
        <f t="shared" si="6"/>
        <v>4820.4000000000005</v>
      </c>
      <c r="H53" s="61" t="s">
        <v>16</v>
      </c>
      <c r="I53" s="54"/>
      <c r="J53" s="54"/>
      <c r="N53" s="59"/>
      <c r="O53" s="74"/>
      <c r="P53" s="71"/>
      <c r="Q53" s="427" t="s">
        <v>270</v>
      </c>
      <c r="R53" s="428"/>
      <c r="S53" s="429"/>
      <c r="T53" s="84">
        <f>O52/'Demographic Data'!$B$4</f>
        <v>7.9973900000000002</v>
      </c>
      <c r="U53" s="115" t="s">
        <v>273</v>
      </c>
      <c r="V53" s="116"/>
      <c r="W53" s="117"/>
      <c r="X53" s="71">
        <f>SUMIFS($T$37:$T$49, $O$37:$O$49, "Transportation", $U$37:$U$49, "Yes")</f>
        <v>56370.2</v>
      </c>
      <c r="Y53" s="97">
        <f>X53/$O$52</f>
        <v>0.23495248658208071</v>
      </c>
    </row>
    <row r="54" spans="1:26" x14ac:dyDescent="0.25">
      <c r="A54" s="50" t="s">
        <v>203</v>
      </c>
      <c r="B54" s="9" t="s">
        <v>109</v>
      </c>
      <c r="C54" s="185">
        <f>'Prices_non-Labor'!$F$35</f>
        <v>24.72</v>
      </c>
      <c r="D54" s="52">
        <f t="shared" ref="D54:D61" si="9">$G$33</f>
        <v>2</v>
      </c>
      <c r="E54" s="65">
        <f>$E$35*C33</f>
        <v>40</v>
      </c>
      <c r="F54" s="51">
        <f>D54*E54</f>
        <v>80</v>
      </c>
      <c r="G54" s="189">
        <f t="shared" si="6"/>
        <v>1977.6</v>
      </c>
      <c r="H54" s="61" t="s">
        <v>16</v>
      </c>
      <c r="I54" s="54"/>
      <c r="J54" s="54"/>
      <c r="N54" s="62"/>
      <c r="O54" s="83"/>
      <c r="P54" s="82"/>
      <c r="Q54" s="427" t="s">
        <v>271</v>
      </c>
      <c r="R54" s="428"/>
      <c r="S54" s="429"/>
      <c r="T54" s="228">
        <f>O52/'Demographic Data'!$B$5</f>
        <v>0.19993475000000002</v>
      </c>
      <c r="U54" s="116" t="s">
        <v>274</v>
      </c>
      <c r="V54" s="116"/>
      <c r="W54" s="117"/>
      <c r="X54" s="71">
        <f>SUMIFS($T$37:$T$49, $O$37:$O$49, "Meals/Per Diem", $U$37:$U$49, "Yes")</f>
        <v>35689.5</v>
      </c>
      <c r="Y54" s="97">
        <f>X54/$O$52</f>
        <v>0.14875478124738195</v>
      </c>
    </row>
    <row r="55" spans="1:26" s="8" customFormat="1" x14ac:dyDescent="0.25">
      <c r="A55" s="9" t="s">
        <v>198</v>
      </c>
      <c r="B55" s="9" t="s">
        <v>109</v>
      </c>
      <c r="C55" s="76">
        <f>'Prices_non-Labor'!$F$29</f>
        <v>6.6950000000000003</v>
      </c>
      <c r="D55" s="52">
        <f t="shared" si="9"/>
        <v>2</v>
      </c>
      <c r="E55" s="65">
        <f>$E$36*E33</f>
        <v>900</v>
      </c>
      <c r="F55" s="51">
        <f>D55*E55</f>
        <v>1800</v>
      </c>
      <c r="G55" s="189">
        <f t="shared" si="6"/>
        <v>12051</v>
      </c>
      <c r="H55" s="61" t="s">
        <v>16</v>
      </c>
      <c r="I55" s="135"/>
      <c r="J55" s="69"/>
      <c r="M55" s="7"/>
      <c r="N55" s="48"/>
      <c r="O55" s="48"/>
      <c r="P55" s="48"/>
      <c r="Q55" s="430"/>
      <c r="R55" s="430"/>
      <c r="S55" s="430"/>
      <c r="T55" s="193"/>
      <c r="U55" s="59" t="s">
        <v>275</v>
      </c>
      <c r="V55" s="59"/>
      <c r="W55" s="59"/>
      <c r="X55" s="71">
        <f>SUMIFS($T$37:$T$49, $O$37:$O$49, "Facilities", $U$37:$U$49, "Yes")</f>
        <v>145200.00000000003</v>
      </c>
      <c r="Y55" s="97">
        <f>X55/$O$52</f>
        <v>0.60519744566664879</v>
      </c>
      <c r="Z55"/>
    </row>
    <row r="56" spans="1:26" s="8" customFormat="1" x14ac:dyDescent="0.25">
      <c r="A56" s="9" t="s">
        <v>204</v>
      </c>
      <c r="B56" s="9" t="s">
        <v>109</v>
      </c>
      <c r="C56" s="185">
        <f>'Prices_non-Labor'!$F$35</f>
        <v>24.72</v>
      </c>
      <c r="D56" s="52">
        <f t="shared" si="9"/>
        <v>2</v>
      </c>
      <c r="E56" s="45">
        <f>$E$36*C33</f>
        <v>100</v>
      </c>
      <c r="F56" s="65">
        <f>E56*D56</f>
        <v>200</v>
      </c>
      <c r="G56" s="189">
        <f t="shared" si="6"/>
        <v>4944</v>
      </c>
      <c r="H56" s="61" t="s">
        <v>16</v>
      </c>
      <c r="I56" s="135"/>
      <c r="J56" s="69"/>
      <c r="M56" s="7"/>
      <c r="P56" s="48"/>
      <c r="V56" s="431"/>
      <c r="W56" s="432"/>
      <c r="X56" s="432"/>
      <c r="Y56" s="67">
        <f>SUM(Y52:Y55)</f>
        <v>1</v>
      </c>
      <c r="Z56"/>
    </row>
    <row r="57" spans="1:26" s="8" customFormat="1" x14ac:dyDescent="0.25">
      <c r="A57" s="9" t="s">
        <v>199</v>
      </c>
      <c r="B57" s="9" t="s">
        <v>109</v>
      </c>
      <c r="C57" s="76">
        <f>'Prices_non-Labor'!$F$29</f>
        <v>6.6950000000000003</v>
      </c>
      <c r="D57" s="52">
        <f t="shared" si="9"/>
        <v>2</v>
      </c>
      <c r="E57" s="65">
        <f>$E$37*E33</f>
        <v>9000</v>
      </c>
      <c r="F57" s="51">
        <f>D57*E57</f>
        <v>18000</v>
      </c>
      <c r="G57" s="189">
        <f t="shared" si="6"/>
        <v>120510</v>
      </c>
      <c r="H57" s="61" t="s">
        <v>16</v>
      </c>
      <c r="I57" s="135"/>
      <c r="J57" s="69"/>
      <c r="M57" s="7"/>
      <c r="N57"/>
      <c r="O57"/>
      <c r="P57"/>
      <c r="Q57"/>
      <c r="R57"/>
      <c r="S57"/>
      <c r="T57"/>
      <c r="U57"/>
      <c r="V57"/>
      <c r="W57"/>
      <c r="X57"/>
      <c r="Y57"/>
      <c r="Z57"/>
    </row>
    <row r="58" spans="1:26" s="8" customFormat="1" ht="45" x14ac:dyDescent="0.25">
      <c r="A58" s="9" t="s">
        <v>205</v>
      </c>
      <c r="B58" s="9" t="s">
        <v>109</v>
      </c>
      <c r="C58" s="185">
        <f>'Prices_non-Labor'!$F$35</f>
        <v>24.72</v>
      </c>
      <c r="D58" s="52">
        <f t="shared" si="9"/>
        <v>2</v>
      </c>
      <c r="E58" s="45">
        <f>$E$37*C33</f>
        <v>1000</v>
      </c>
      <c r="F58" s="65">
        <f>E58*D58</f>
        <v>2000</v>
      </c>
      <c r="G58" s="189">
        <f t="shared" si="6"/>
        <v>49440</v>
      </c>
      <c r="H58" s="61" t="s">
        <v>16</v>
      </c>
      <c r="I58" s="135"/>
      <c r="J58" s="69"/>
      <c r="M58" s="7"/>
      <c r="N58" s="161" t="s">
        <v>288</v>
      </c>
      <c r="O58" s="144" t="s">
        <v>0</v>
      </c>
      <c r="P58" s="143" t="s">
        <v>134</v>
      </c>
      <c r="Q58" s="143" t="s">
        <v>25</v>
      </c>
      <c r="R58" s="143" t="s">
        <v>20</v>
      </c>
      <c r="S58" s="143" t="s">
        <v>21</v>
      </c>
      <c r="T58" s="143" t="s">
        <v>114</v>
      </c>
      <c r="U58" s="143" t="s">
        <v>17</v>
      </c>
      <c r="V58" s="320"/>
      <c r="W58" s="320"/>
      <c r="X58" s="320"/>
      <c r="Y58" s="321"/>
      <c r="Z58"/>
    </row>
    <row r="59" spans="1:26" s="8" customFormat="1" x14ac:dyDescent="0.25">
      <c r="A59" s="9" t="s">
        <v>202</v>
      </c>
      <c r="B59" s="9" t="s">
        <v>109</v>
      </c>
      <c r="C59" s="76">
        <f>'Prices_non-Labor'!$F$29</f>
        <v>6.6950000000000003</v>
      </c>
      <c r="D59" s="52">
        <f t="shared" si="9"/>
        <v>2</v>
      </c>
      <c r="E59" s="65">
        <f>$E$38*E33</f>
        <v>27000</v>
      </c>
      <c r="F59" s="51">
        <f>D59*E59</f>
        <v>54000</v>
      </c>
      <c r="G59" s="189">
        <f t="shared" si="6"/>
        <v>361530</v>
      </c>
      <c r="H59" s="61" t="s">
        <v>16</v>
      </c>
      <c r="I59" s="135"/>
      <c r="J59" s="69"/>
      <c r="M59" s="7"/>
      <c r="N59" s="9" t="s">
        <v>85</v>
      </c>
      <c r="O59" s="9" t="s">
        <v>2</v>
      </c>
      <c r="P59" s="9"/>
      <c r="Q59" s="52">
        <f>$X$3</f>
        <v>9</v>
      </c>
      <c r="R59" s="65">
        <f>'Demographic Data'!$B$3</f>
        <v>10000</v>
      </c>
      <c r="S59" s="51">
        <f>R59*Q59</f>
        <v>90000</v>
      </c>
      <c r="T59" s="322"/>
      <c r="U59" s="61" t="s">
        <v>18</v>
      </c>
      <c r="V59" s="322"/>
      <c r="W59" s="45"/>
      <c r="X59" s="45"/>
      <c r="Y59" s="61"/>
      <c r="Z59"/>
    </row>
    <row r="60" spans="1:26" s="8" customFormat="1" x14ac:dyDescent="0.25">
      <c r="A60" s="9" t="s">
        <v>207</v>
      </c>
      <c r="B60" s="9" t="s">
        <v>109</v>
      </c>
      <c r="C60" s="185">
        <f>'Prices_non-Labor'!$F$35</f>
        <v>24.72</v>
      </c>
      <c r="D60" s="52">
        <f t="shared" si="9"/>
        <v>2</v>
      </c>
      <c r="E60" s="45">
        <f>$E$38*C33</f>
        <v>3000</v>
      </c>
      <c r="F60" s="51">
        <f>D60*E60</f>
        <v>6000</v>
      </c>
      <c r="G60" s="189">
        <f>F60*C60</f>
        <v>148320</v>
      </c>
      <c r="H60" s="61" t="s">
        <v>16</v>
      </c>
      <c r="I60" s="131"/>
      <c r="J60" s="131"/>
      <c r="M60" s="7"/>
      <c r="N60" s="9" t="s">
        <v>85</v>
      </c>
      <c r="O60" s="9" t="s">
        <v>41</v>
      </c>
      <c r="P60" s="195">
        <f>'Prices_non-Labor'!$F$46</f>
        <v>11.210884353741497</v>
      </c>
      <c r="Q60" s="52">
        <f t="shared" ref="Q60:Q62" si="10">$X$3</f>
        <v>9</v>
      </c>
      <c r="R60" s="65">
        <f>'Demographic Data'!$B$3</f>
        <v>10000</v>
      </c>
      <c r="S60" s="51">
        <f>Q60*R60/3</f>
        <v>30000</v>
      </c>
      <c r="T60" s="322">
        <f>SUM(S60*P60)</f>
        <v>336326.53061224491</v>
      </c>
      <c r="U60" s="61" t="s">
        <v>16</v>
      </c>
      <c r="V60" s="322"/>
      <c r="W60" s="45"/>
      <c r="X60" s="45"/>
      <c r="Y60" s="61"/>
      <c r="Z60"/>
    </row>
    <row r="61" spans="1:26" s="8" customFormat="1" x14ac:dyDescent="0.25">
      <c r="A61" s="9" t="s">
        <v>39</v>
      </c>
      <c r="B61" s="9" t="s">
        <v>15</v>
      </c>
      <c r="C61" s="185">
        <f>'Prices_non-Labor'!$F$24</f>
        <v>121.00000000000003</v>
      </c>
      <c r="D61" s="52">
        <f t="shared" si="9"/>
        <v>2</v>
      </c>
      <c r="E61" s="59">
        <v>700</v>
      </c>
      <c r="F61" s="65">
        <f>D61*E61</f>
        <v>1400</v>
      </c>
      <c r="G61" s="189">
        <f t="shared" si="6"/>
        <v>169400.00000000003</v>
      </c>
      <c r="H61" s="61" t="s">
        <v>16</v>
      </c>
      <c r="I61" s="131"/>
      <c r="J61" s="131"/>
      <c r="M61" s="7"/>
      <c r="N61" s="9" t="s">
        <v>85</v>
      </c>
      <c r="O61" s="9" t="s">
        <v>356</v>
      </c>
      <c r="P61" s="43">
        <f>'Prices_non-Labor'!$F$45</f>
        <v>7.0039999999999996</v>
      </c>
      <c r="Q61" s="52">
        <f t="shared" si="10"/>
        <v>9</v>
      </c>
      <c r="R61" s="65">
        <f>'Demographic Data'!$B$3</f>
        <v>10000</v>
      </c>
      <c r="S61" s="51">
        <f>Q61*R61/3</f>
        <v>30000</v>
      </c>
      <c r="T61" s="322">
        <f t="shared" ref="T61:T62" si="11">SUM(S61*P61)</f>
        <v>210120</v>
      </c>
      <c r="U61" s="61" t="s">
        <v>16</v>
      </c>
      <c r="V61" s="322"/>
      <c r="W61" s="45"/>
      <c r="X61" s="45"/>
      <c r="Y61" s="61"/>
      <c r="Z61"/>
    </row>
    <row r="62" spans="1:26" s="8" customFormat="1" x14ac:dyDescent="0.25">
      <c r="A62"/>
      <c r="B62"/>
      <c r="C62"/>
      <c r="D62" s="103"/>
      <c r="E62" s="70"/>
      <c r="F62" s="126"/>
      <c r="G62"/>
      <c r="I62" s="72"/>
      <c r="J62" s="72"/>
      <c r="K62" s="127"/>
      <c r="L62" s="64"/>
      <c r="M62" s="282"/>
      <c r="N62" s="9" t="s">
        <v>85</v>
      </c>
      <c r="O62" s="9" t="s">
        <v>3</v>
      </c>
      <c r="P62" s="43">
        <f>'Prices_non-Labor'!$F$47</f>
        <v>0.33</v>
      </c>
      <c r="Q62" s="52">
        <f t="shared" si="10"/>
        <v>9</v>
      </c>
      <c r="R62" s="65">
        <f>'Demographic Data'!$B$3</f>
        <v>10000</v>
      </c>
      <c r="S62" s="51">
        <f>SUM(Q62*R62)*2</f>
        <v>180000</v>
      </c>
      <c r="T62" s="322">
        <f t="shared" si="11"/>
        <v>59400</v>
      </c>
      <c r="U62" s="61" t="s">
        <v>16</v>
      </c>
      <c r="V62" s="51"/>
      <c r="W62" s="51"/>
      <c r="X62" s="51"/>
      <c r="Y62" s="61"/>
    </row>
    <row r="63" spans="1:26" s="8" customFormat="1" x14ac:dyDescent="0.25">
      <c r="A63" s="178" t="s">
        <v>1</v>
      </c>
      <c r="B63" s="176" t="s">
        <v>32</v>
      </c>
      <c r="C63" s="176"/>
      <c r="D63" s="178" t="s">
        <v>1</v>
      </c>
      <c r="E63" s="179"/>
      <c r="F63" s="179" t="s">
        <v>1</v>
      </c>
      <c r="G63" s="180" t="s">
        <v>32</v>
      </c>
      <c r="H63" s="178" t="s">
        <v>1</v>
      </c>
      <c r="I63" s="179"/>
      <c r="J63" s="179"/>
      <c r="K63" s="175" t="s">
        <v>32</v>
      </c>
      <c r="L63" s="177" t="s">
        <v>45</v>
      </c>
      <c r="M63" s="7"/>
      <c r="N63"/>
      <c r="O63"/>
      <c r="P63"/>
      <c r="Q63"/>
      <c r="R63" s="70"/>
      <c r="S63" s="72"/>
      <c r="T63" s="323"/>
      <c r="U63" s="323"/>
      <c r="V63" s="323"/>
      <c r="W63" s="205"/>
      <c r="X63" s="205"/>
      <c r="Y63" s="64"/>
    </row>
    <row r="64" spans="1:26" s="8" customFormat="1" x14ac:dyDescent="0.25">
      <c r="A64" s="59" t="s">
        <v>62</v>
      </c>
      <c r="B64" s="186">
        <f>SUM(G39:G61)</f>
        <v>2083674</v>
      </c>
      <c r="C64" s="79"/>
      <c r="D64" s="433" t="s">
        <v>63</v>
      </c>
      <c r="E64" s="433"/>
      <c r="F64" s="433"/>
      <c r="G64" s="84">
        <f>B64/'Demographic Data'!$B$3</f>
        <v>208.3674</v>
      </c>
      <c r="H64" s="115" t="s">
        <v>65</v>
      </c>
      <c r="I64" s="116"/>
      <c r="J64" s="117"/>
      <c r="K64" s="71">
        <f>SUMIFS($G$39:$G$61, $B$39:$B$61, "Materials", $H$39:$H$61, "Yes")</f>
        <v>29497.599999999999</v>
      </c>
      <c r="L64" s="97">
        <f>K64/$B$64</f>
        <v>1.4156533123703611E-2</v>
      </c>
      <c r="M64" s="7"/>
      <c r="N64" s="112" t="s">
        <v>255</v>
      </c>
      <c r="O64" s="176" t="s">
        <v>32</v>
      </c>
      <c r="P64" s="176"/>
      <c r="Q64" s="178" t="s">
        <v>1</v>
      </c>
      <c r="R64" s="179"/>
      <c r="S64" s="179"/>
      <c r="T64" s="180" t="s">
        <v>32</v>
      </c>
      <c r="U64" s="178" t="s">
        <v>1</v>
      </c>
      <c r="V64" s="179"/>
      <c r="W64" s="179"/>
      <c r="X64" s="175" t="s">
        <v>32</v>
      </c>
      <c r="Y64" s="177" t="s">
        <v>45</v>
      </c>
      <c r="Z64" s="55"/>
    </row>
    <row r="65" spans="1:26" s="8" customFormat="1" x14ac:dyDescent="0.25">
      <c r="A65" s="59"/>
      <c r="B65" s="74"/>
      <c r="C65" s="71"/>
      <c r="D65" s="433" t="s">
        <v>64</v>
      </c>
      <c r="E65" s="433"/>
      <c r="F65" s="433"/>
      <c r="G65" s="84">
        <f>B64/'Demographic Data'!$B$4</f>
        <v>69.455799999999996</v>
      </c>
      <c r="H65" s="115" t="s">
        <v>66</v>
      </c>
      <c r="I65" s="116"/>
      <c r="J65" s="117"/>
      <c r="K65" s="71">
        <f>SUMIFS($G$39:$G$61, $B$39:$B$61, "Transportation", $H$39:$H$61, "Yes")</f>
        <v>1181183.4000000001</v>
      </c>
      <c r="L65" s="97">
        <f>K65/$B$64</f>
        <v>0.56687533654496824</v>
      </c>
      <c r="M65" s="7"/>
      <c r="N65" s="59" t="s">
        <v>297</v>
      </c>
      <c r="O65" s="65">
        <f>SUM(T60:T62)</f>
        <v>605846.53061224497</v>
      </c>
      <c r="P65" s="71"/>
      <c r="Q65" s="433" t="s">
        <v>299</v>
      </c>
      <c r="R65" s="433"/>
      <c r="S65" s="433"/>
      <c r="T65" s="84">
        <f>O65/'Demographic Data'!$B$3</f>
        <v>60.5846530612245</v>
      </c>
      <c r="U65" s="71"/>
      <c r="V65" s="115" t="s">
        <v>294</v>
      </c>
      <c r="W65" s="116"/>
      <c r="X65" s="71">
        <f>SUMIFS($T$59:$T$62, $O$59:$O$62, "Materials", $U$59:$U$62, "Yes")</f>
        <v>59400</v>
      </c>
      <c r="Y65" s="97">
        <f>X65/$O$65</f>
        <v>9.804463176503242E-2</v>
      </c>
      <c r="Z65" s="97"/>
    </row>
    <row r="66" spans="1:26" s="8" customFormat="1" x14ac:dyDescent="0.25">
      <c r="A66" s="62"/>
      <c r="B66" s="83"/>
      <c r="C66" s="82"/>
      <c r="D66" s="426" t="s">
        <v>60</v>
      </c>
      <c r="E66" s="426"/>
      <c r="F66" s="426"/>
      <c r="G66" s="132">
        <f>B64/'Demographic Data'!$B$5</f>
        <v>1.7363949999999999</v>
      </c>
      <c r="H66" s="116" t="s">
        <v>126</v>
      </c>
      <c r="I66" s="116"/>
      <c r="J66" s="117"/>
      <c r="K66" s="71">
        <f>SUMIFS($G$39:$G$61, $B$39:$B$61, "Meals/Per Diem", $H$39:$H$61, "Yes")</f>
        <v>703593</v>
      </c>
      <c r="L66" s="97">
        <f>K66/$B$64</f>
        <v>0.33766942429573915</v>
      </c>
      <c r="M66" s="7"/>
      <c r="N66" s="59"/>
      <c r="O66" s="86"/>
      <c r="P66" s="71"/>
      <c r="Q66" s="433" t="s">
        <v>298</v>
      </c>
      <c r="R66" s="433"/>
      <c r="S66" s="433"/>
      <c r="T66" s="84">
        <f>O65/'Demographic Data'!$B$4</f>
        <v>20.1948843537415</v>
      </c>
      <c r="U66" s="71"/>
      <c r="V66" s="116" t="s">
        <v>295</v>
      </c>
      <c r="W66" s="116"/>
      <c r="X66" s="71">
        <f>SUMIFS($T$59:$T$62, $O$59:$O$62, "Transportation", $U$59:$U$62, "Yes")</f>
        <v>336326.53061224491</v>
      </c>
      <c r="Y66" s="97">
        <f>X66/$O$65</f>
        <v>0.55513486273886292</v>
      </c>
      <c r="Z66" s="97"/>
    </row>
    <row r="67" spans="1:26" s="8" customFormat="1" x14ac:dyDescent="0.25">
      <c r="A67" s="48"/>
      <c r="B67" s="48"/>
      <c r="C67" s="48"/>
      <c r="D67" s="451"/>
      <c r="E67" s="451"/>
      <c r="F67" s="451"/>
      <c r="G67" s="193"/>
      <c r="H67" s="59" t="s">
        <v>67</v>
      </c>
      <c r="I67" s="59"/>
      <c r="J67" s="59"/>
      <c r="K67" s="71">
        <f>SUMIFS($G$39:$G$61, $B$39:$B$61, "Facilities", $H$39:$H$61, "Yes")</f>
        <v>169400.00000000003</v>
      </c>
      <c r="L67" s="97">
        <f>K67/$B$64</f>
        <v>8.1298706035589072E-2</v>
      </c>
      <c r="M67" s="284"/>
      <c r="N67" s="62"/>
      <c r="O67" s="83"/>
      <c r="P67" s="71"/>
      <c r="Q67" s="426" t="s">
        <v>300</v>
      </c>
      <c r="R67" s="426"/>
      <c r="S67" s="426"/>
      <c r="T67" s="228">
        <f>O65/'Demographic Data'!$B$5</f>
        <v>0.5048721088435375</v>
      </c>
      <c r="U67" s="324"/>
      <c r="V67" s="59" t="s">
        <v>296</v>
      </c>
      <c r="W67" s="59"/>
      <c r="X67" s="71">
        <f>SUMIFS($T$59:$T$62, $O$59:$O$62, "Meals/per diem", $U$59:$U$62, "Yes")</f>
        <v>210120</v>
      </c>
      <c r="Y67" s="97">
        <f>X67/$O$65</f>
        <v>0.3468205054961046</v>
      </c>
      <c r="Z67" s="97"/>
    </row>
    <row r="68" spans="1:26" s="8" customFormat="1" x14ac:dyDescent="0.25">
      <c r="C68" s="48"/>
      <c r="I68" s="431"/>
      <c r="J68" s="432"/>
      <c r="K68" s="432"/>
      <c r="L68" s="299">
        <f>SUM(L64:L67)</f>
        <v>1</v>
      </c>
      <c r="M68" s="285"/>
      <c r="O68" s="48"/>
      <c r="T68" s="102"/>
      <c r="U68" s="325"/>
      <c r="V68" s="59"/>
      <c r="W68" s="59"/>
      <c r="X68" s="71"/>
      <c r="Y68" s="97">
        <f>SUM(Y65:Y67)</f>
        <v>1</v>
      </c>
      <c r="Z68" s="67"/>
    </row>
    <row r="69" spans="1:26" s="8" customFormat="1" x14ac:dyDescent="0.25">
      <c r="C69" s="48"/>
      <c r="I69" s="194"/>
      <c r="L69" s="67"/>
      <c r="M69" s="285"/>
      <c r="N69" s="70"/>
    </row>
    <row r="70" spans="1:26" s="8" customFormat="1" x14ac:dyDescent="0.25">
      <c r="C70" s="48"/>
      <c r="I70" s="194"/>
      <c r="L70" s="67"/>
      <c r="M70" s="285"/>
      <c r="N70" s="70"/>
    </row>
    <row r="71" spans="1:26" s="8" customFormat="1" x14ac:dyDescent="0.25">
      <c r="A71" s="343" t="s">
        <v>190</v>
      </c>
      <c r="B71" s="10" t="s">
        <v>217</v>
      </c>
      <c r="C71" s="10">
        <v>0.1</v>
      </c>
      <c r="D71" s="10" t="s">
        <v>218</v>
      </c>
      <c r="E71" s="277">
        <v>0.9</v>
      </c>
      <c r="F71" s="10" t="s">
        <v>74</v>
      </c>
      <c r="G71" s="298">
        <f>$G$6</f>
        <v>2</v>
      </c>
      <c r="L71" s="67"/>
      <c r="M71" s="285"/>
      <c r="N71" s="70"/>
    </row>
    <row r="72" spans="1:26" s="8" customFormat="1" ht="30" x14ac:dyDescent="0.25">
      <c r="A72" s="142" t="s">
        <v>1</v>
      </c>
      <c r="B72" s="144" t="s">
        <v>0</v>
      </c>
      <c r="C72" s="143" t="s">
        <v>134</v>
      </c>
      <c r="D72" s="143" t="s">
        <v>25</v>
      </c>
      <c r="E72" s="143" t="s">
        <v>20</v>
      </c>
      <c r="F72" s="143" t="s">
        <v>21</v>
      </c>
      <c r="G72" s="143" t="s">
        <v>114</v>
      </c>
      <c r="H72" s="143" t="s">
        <v>17</v>
      </c>
      <c r="I72" s="41"/>
      <c r="J72" s="48"/>
      <c r="K72"/>
      <c r="M72" s="286"/>
      <c r="N72" s="70"/>
    </row>
    <row r="73" spans="1:26" s="8" customFormat="1" x14ac:dyDescent="0.25">
      <c r="A73" s="128" t="s">
        <v>84</v>
      </c>
      <c r="B73" s="129"/>
      <c r="C73" s="130"/>
      <c r="D73" s="129">
        <f>$G$71</f>
        <v>2</v>
      </c>
      <c r="E73" s="190">
        <v>400</v>
      </c>
      <c r="F73" s="130">
        <f>D73*E73</f>
        <v>800</v>
      </c>
      <c r="G73" s="187"/>
      <c r="H73" s="188" t="s">
        <v>18</v>
      </c>
      <c r="I73"/>
      <c r="J73"/>
      <c r="K73"/>
      <c r="M73" s="286"/>
      <c r="N73" s="70"/>
    </row>
    <row r="74" spans="1:26" s="8" customFormat="1" x14ac:dyDescent="0.25">
      <c r="A74" s="129" t="s">
        <v>19</v>
      </c>
      <c r="B74" s="129"/>
      <c r="C74" s="130"/>
      <c r="D74" s="129">
        <f>$G$71</f>
        <v>2</v>
      </c>
      <c r="E74" s="130">
        <f>'Demographic Data'!B4</f>
        <v>30000</v>
      </c>
      <c r="F74" s="130">
        <f>D74*E74</f>
        <v>60000</v>
      </c>
      <c r="G74" s="187"/>
      <c r="H74" s="188" t="s">
        <v>18</v>
      </c>
      <c r="I74" s="41"/>
      <c r="J74" s="41"/>
      <c r="K74"/>
      <c r="M74" s="286"/>
      <c r="N74" s="70"/>
    </row>
    <row r="75" spans="1:26" s="8" customFormat="1" x14ac:dyDescent="0.25">
      <c r="A75" s="50" t="s">
        <v>26</v>
      </c>
      <c r="B75" s="9" t="s">
        <v>3</v>
      </c>
      <c r="C75" s="185">
        <f>'Prices_non-Labor'!$F$12</f>
        <v>1.32</v>
      </c>
      <c r="D75" s="226">
        <v>0.1</v>
      </c>
      <c r="E75" s="51">
        <f>SUM(E73:E74)</f>
        <v>30400</v>
      </c>
      <c r="F75" s="51">
        <f>E75*D75</f>
        <v>3040</v>
      </c>
      <c r="G75" s="189">
        <f>F75*C75</f>
        <v>4012.8</v>
      </c>
      <c r="H75" s="61" t="s">
        <v>16</v>
      </c>
      <c r="I75" s="137"/>
      <c r="J75" s="41"/>
      <c r="K75"/>
      <c r="M75" s="285"/>
      <c r="N75" s="70"/>
    </row>
    <row r="76" spans="1:26" s="8" customFormat="1" x14ac:dyDescent="0.25">
      <c r="A76" s="50" t="s">
        <v>79</v>
      </c>
      <c r="B76" s="9" t="s">
        <v>3</v>
      </c>
      <c r="C76" s="185">
        <f>'Prices_non-Labor'!$F$13</f>
        <v>1.1000000000000001</v>
      </c>
      <c r="D76" s="53">
        <v>0.1</v>
      </c>
      <c r="E76" s="51">
        <f>SUM(E73:E74)</f>
        <v>30400</v>
      </c>
      <c r="F76" s="51">
        <f>E76*D76</f>
        <v>3040</v>
      </c>
      <c r="G76" s="189">
        <f t="shared" ref="G76:G85" si="12">F76*C76</f>
        <v>3344.0000000000005</v>
      </c>
      <c r="H76" s="61" t="s">
        <v>16</v>
      </c>
      <c r="I76" s="137"/>
      <c r="J76" s="41"/>
      <c r="K76"/>
      <c r="L76"/>
      <c r="M76" s="285"/>
      <c r="N76" s="70"/>
    </row>
    <row r="77" spans="1:26" s="8" customFormat="1" x14ac:dyDescent="0.25">
      <c r="A77" s="50" t="s">
        <v>83</v>
      </c>
      <c r="B77" s="9" t="s">
        <v>3</v>
      </c>
      <c r="C77" s="185">
        <f>'Prices_non-Labor'!$F$11</f>
        <v>1.1000000000000001</v>
      </c>
      <c r="D77" s="9">
        <v>1</v>
      </c>
      <c r="E77" s="65">
        <f>$E$35</f>
        <v>400</v>
      </c>
      <c r="F77" s="51">
        <f t="shared" ref="F77:F87" si="13">D77*E77</f>
        <v>400</v>
      </c>
      <c r="G77" s="189">
        <f t="shared" si="12"/>
        <v>440.00000000000006</v>
      </c>
      <c r="H77" s="61" t="s">
        <v>16</v>
      </c>
      <c r="I77" s="41"/>
      <c r="J77" s="41"/>
      <c r="K77"/>
      <c r="L77"/>
      <c r="M77" s="285"/>
      <c r="N77" s="70"/>
    </row>
    <row r="78" spans="1:26" s="8" customFormat="1" x14ac:dyDescent="0.25">
      <c r="A78" s="9" t="s">
        <v>27</v>
      </c>
      <c r="B78" s="9" t="s">
        <v>3</v>
      </c>
      <c r="C78" s="185">
        <f>'Prices_non-Labor'!$F$11</f>
        <v>1.1000000000000001</v>
      </c>
      <c r="D78" s="195">
        <v>0.2</v>
      </c>
      <c r="E78" s="65">
        <f>$E$38</f>
        <v>30000</v>
      </c>
      <c r="F78" s="51">
        <f t="shared" si="13"/>
        <v>6000</v>
      </c>
      <c r="G78" s="189">
        <f t="shared" si="12"/>
        <v>6600.0000000000009</v>
      </c>
      <c r="H78" s="61" t="s">
        <v>16</v>
      </c>
      <c r="I78" s="41"/>
      <c r="J78" s="41"/>
      <c r="K78"/>
      <c r="L78"/>
      <c r="M78" s="285"/>
      <c r="N78" s="70"/>
    </row>
    <row r="79" spans="1:26" s="8" customFormat="1" x14ac:dyDescent="0.25">
      <c r="A79" s="50" t="s">
        <v>201</v>
      </c>
      <c r="B79" s="9" t="s">
        <v>41</v>
      </c>
      <c r="C79" s="218">
        <f>'Prices_non-Labor'!$F$30</f>
        <v>13.905000000000001</v>
      </c>
      <c r="D79" s="52">
        <f>$G$71</f>
        <v>2</v>
      </c>
      <c r="E79" s="105">
        <f>E73*E71</f>
        <v>360</v>
      </c>
      <c r="F79" s="133">
        <f t="shared" si="13"/>
        <v>720</v>
      </c>
      <c r="G79" s="189">
        <f t="shared" si="12"/>
        <v>10011.6</v>
      </c>
      <c r="H79" s="61" t="s">
        <v>16</v>
      </c>
      <c r="I79" s="41"/>
      <c r="J79" s="41"/>
      <c r="K79"/>
      <c r="L79"/>
      <c r="M79" s="285"/>
      <c r="N79" s="70"/>
    </row>
    <row r="80" spans="1:26" s="8" customFormat="1" x14ac:dyDescent="0.25">
      <c r="A80" s="50" t="s">
        <v>203</v>
      </c>
      <c r="B80" s="9" t="s">
        <v>41</v>
      </c>
      <c r="C80" s="185">
        <f>'Prices_non-Labor'!$F$36</f>
        <v>35.020000000000003</v>
      </c>
      <c r="D80" s="9">
        <v>1</v>
      </c>
      <c r="E80" s="65">
        <f>$E$35*C71</f>
        <v>40</v>
      </c>
      <c r="F80" s="51">
        <f t="shared" si="13"/>
        <v>40</v>
      </c>
      <c r="G80" s="189">
        <f t="shared" si="12"/>
        <v>1400.8000000000002</v>
      </c>
      <c r="H80" s="61" t="s">
        <v>16</v>
      </c>
      <c r="I80" s="41"/>
      <c r="J80" s="41"/>
      <c r="K80"/>
      <c r="L80"/>
      <c r="M80" s="285"/>
      <c r="N80" s="70"/>
    </row>
    <row r="81" spans="1:14" s="8" customFormat="1" x14ac:dyDescent="0.25">
      <c r="A81" s="9" t="s">
        <v>200</v>
      </c>
      <c r="B81" s="9" t="s">
        <v>41</v>
      </c>
      <c r="C81" s="218">
        <f>'Prices_non-Labor'!$F$30</f>
        <v>13.905000000000001</v>
      </c>
      <c r="D81" s="52">
        <f>$G$71</f>
        <v>2</v>
      </c>
      <c r="E81" s="65">
        <f>$E$38*E71</f>
        <v>27000</v>
      </c>
      <c r="F81" s="51">
        <f t="shared" si="13"/>
        <v>54000</v>
      </c>
      <c r="G81" s="189">
        <f t="shared" si="12"/>
        <v>750870.00000000012</v>
      </c>
      <c r="H81" s="61" t="s">
        <v>16</v>
      </c>
      <c r="I81" s="41"/>
      <c r="J81" s="41"/>
      <c r="K81"/>
      <c r="L81"/>
      <c r="M81" s="285"/>
      <c r="N81" s="70"/>
    </row>
    <row r="82" spans="1:14" s="8" customFormat="1" x14ac:dyDescent="0.25">
      <c r="A82" s="9" t="s">
        <v>206</v>
      </c>
      <c r="B82" s="9" t="s">
        <v>41</v>
      </c>
      <c r="C82" s="185">
        <f>'Prices_non-Labor'!$F$36</f>
        <v>35.020000000000003</v>
      </c>
      <c r="D82" s="9">
        <v>1</v>
      </c>
      <c r="E82" s="45">
        <f>$E$38*C71</f>
        <v>3000</v>
      </c>
      <c r="F82" s="51">
        <f t="shared" si="13"/>
        <v>3000</v>
      </c>
      <c r="G82" s="189">
        <f t="shared" si="12"/>
        <v>105060.00000000001</v>
      </c>
      <c r="H82" s="61" t="s">
        <v>16</v>
      </c>
      <c r="I82" s="54" t="s">
        <v>1</v>
      </c>
      <c r="J82" s="54"/>
      <c r="K82"/>
      <c r="L82"/>
      <c r="M82" s="285"/>
      <c r="N82" s="70"/>
    </row>
    <row r="83" spans="1:14" s="8" customFormat="1" x14ac:dyDescent="0.25">
      <c r="A83" s="50" t="s">
        <v>201</v>
      </c>
      <c r="B83" s="9" t="s">
        <v>109</v>
      </c>
      <c r="C83" s="76">
        <f>'Prices_non-Labor'!$F$29</f>
        <v>6.6950000000000003</v>
      </c>
      <c r="D83" s="52">
        <f>$G$71</f>
        <v>2</v>
      </c>
      <c r="E83" s="105">
        <f>$E$35*E71</f>
        <v>360</v>
      </c>
      <c r="F83" s="133">
        <f t="shared" si="13"/>
        <v>720</v>
      </c>
      <c r="G83" s="189">
        <f t="shared" si="12"/>
        <v>4820.4000000000005</v>
      </c>
      <c r="H83" s="61" t="s">
        <v>16</v>
      </c>
      <c r="I83" s="54"/>
      <c r="J83" s="54"/>
      <c r="K83"/>
      <c r="L83"/>
      <c r="M83" s="285"/>
      <c r="N83" s="70"/>
    </row>
    <row r="84" spans="1:14" s="8" customFormat="1" x14ac:dyDescent="0.25">
      <c r="A84" s="50" t="s">
        <v>203</v>
      </c>
      <c r="B84" s="9" t="s">
        <v>109</v>
      </c>
      <c r="C84" s="185">
        <f>'Prices_non-Labor'!$F$35</f>
        <v>24.72</v>
      </c>
      <c r="D84" s="52">
        <f>$G$71</f>
        <v>2</v>
      </c>
      <c r="E84" s="65">
        <f>$E$35*C71</f>
        <v>40</v>
      </c>
      <c r="F84" s="51">
        <f t="shared" si="13"/>
        <v>80</v>
      </c>
      <c r="G84" s="189">
        <f t="shared" si="12"/>
        <v>1977.6</v>
      </c>
      <c r="H84" s="61" t="s">
        <v>16</v>
      </c>
      <c r="I84" s="54"/>
      <c r="J84" s="54"/>
      <c r="K84"/>
      <c r="L84"/>
      <c r="M84" s="285"/>
      <c r="N84" s="70"/>
    </row>
    <row r="85" spans="1:14" s="8" customFormat="1" x14ac:dyDescent="0.25">
      <c r="A85" s="9" t="s">
        <v>202</v>
      </c>
      <c r="B85" s="9" t="s">
        <v>109</v>
      </c>
      <c r="C85" s="76">
        <f>'Prices_non-Labor'!$F$29</f>
        <v>6.6950000000000003</v>
      </c>
      <c r="D85" s="52">
        <f>$G$71</f>
        <v>2</v>
      </c>
      <c r="E85" s="65">
        <f>$E$38*E71</f>
        <v>27000</v>
      </c>
      <c r="F85" s="51">
        <f t="shared" si="13"/>
        <v>54000</v>
      </c>
      <c r="G85" s="189">
        <f t="shared" si="12"/>
        <v>361530</v>
      </c>
      <c r="H85" s="61" t="s">
        <v>16</v>
      </c>
      <c r="I85" s="135"/>
      <c r="J85" s="69"/>
      <c r="M85" s="285"/>
      <c r="N85" s="70"/>
    </row>
    <row r="86" spans="1:14" s="8" customFormat="1" x14ac:dyDescent="0.25">
      <c r="A86" s="9" t="s">
        <v>207</v>
      </c>
      <c r="B86" s="9" t="s">
        <v>109</v>
      </c>
      <c r="C86" s="185">
        <f>'Prices_non-Labor'!$F$35</f>
        <v>24.72</v>
      </c>
      <c r="D86" s="52">
        <f>$G$71</f>
        <v>2</v>
      </c>
      <c r="E86" s="45">
        <f>$E$38*C71</f>
        <v>3000</v>
      </c>
      <c r="F86" s="51">
        <f t="shared" si="13"/>
        <v>6000</v>
      </c>
      <c r="G86" s="189">
        <f>F86*C86</f>
        <v>148320</v>
      </c>
      <c r="H86" s="61" t="s">
        <v>16</v>
      </c>
      <c r="I86" s="131"/>
      <c r="J86" s="131"/>
      <c r="M86" s="285"/>
      <c r="N86" s="70"/>
    </row>
    <row r="87" spans="1:14" s="8" customFormat="1" x14ac:dyDescent="0.25">
      <c r="A87" s="9" t="s">
        <v>39</v>
      </c>
      <c r="B87" s="9" t="s">
        <v>15</v>
      </c>
      <c r="C87" s="185">
        <f>'Prices_non-Labor'!$F$24</f>
        <v>121.00000000000003</v>
      </c>
      <c r="D87" s="52">
        <f>$G$71</f>
        <v>2</v>
      </c>
      <c r="E87" s="59">
        <v>700</v>
      </c>
      <c r="F87" s="65">
        <f t="shared" si="13"/>
        <v>1400</v>
      </c>
      <c r="G87" s="189">
        <f>F87*C87</f>
        <v>169400.00000000003</v>
      </c>
      <c r="H87" s="61" t="s">
        <v>16</v>
      </c>
      <c r="I87" s="131"/>
      <c r="J87" s="131"/>
      <c r="M87" s="285"/>
      <c r="N87" s="70"/>
    </row>
    <row r="88" spans="1:14" s="8" customFormat="1" x14ac:dyDescent="0.25">
      <c r="A88"/>
      <c r="B88"/>
      <c r="C88"/>
      <c r="D88" s="103"/>
      <c r="E88" s="70"/>
      <c r="F88" s="126"/>
      <c r="G88"/>
      <c r="I88" s="72"/>
      <c r="J88" s="72"/>
      <c r="K88" s="127"/>
      <c r="L88" s="64"/>
      <c r="M88" s="285"/>
      <c r="N88" s="70"/>
    </row>
    <row r="89" spans="1:14" s="8" customFormat="1" x14ac:dyDescent="0.25">
      <c r="A89" s="178" t="s">
        <v>1</v>
      </c>
      <c r="B89" s="176" t="s">
        <v>32</v>
      </c>
      <c r="C89" s="176"/>
      <c r="D89" s="178" t="s">
        <v>1</v>
      </c>
      <c r="E89" s="179"/>
      <c r="F89" s="179"/>
      <c r="G89" s="180" t="s">
        <v>32</v>
      </c>
      <c r="H89" s="178" t="s">
        <v>1</v>
      </c>
      <c r="I89" s="179"/>
      <c r="J89" s="179"/>
      <c r="K89" s="175" t="s">
        <v>32</v>
      </c>
      <c r="L89" s="177" t="s">
        <v>45</v>
      </c>
      <c r="M89" s="285"/>
      <c r="N89" s="70"/>
    </row>
    <row r="90" spans="1:14" s="8" customFormat="1" x14ac:dyDescent="0.25">
      <c r="A90" s="59" t="s">
        <v>62</v>
      </c>
      <c r="B90" s="186">
        <f>SUM(G75:G87)</f>
        <v>1567787.2000000002</v>
      </c>
      <c r="C90" s="79"/>
      <c r="D90" s="433" t="s">
        <v>63</v>
      </c>
      <c r="E90" s="433"/>
      <c r="F90" s="433"/>
      <c r="G90" s="84">
        <f>B90/'Demographic Data'!$B$3</f>
        <v>156.77872000000002</v>
      </c>
      <c r="H90" s="115" t="s">
        <v>65</v>
      </c>
      <c r="I90" s="116"/>
      <c r="J90" s="117"/>
      <c r="K90" s="71">
        <f>SUMIFS($G$75:$G$87, $B$75:$B$87, "Materials", $H$75:$H$87, "Yes")</f>
        <v>14396.800000000003</v>
      </c>
      <c r="L90" s="97">
        <f>K90/$B$90</f>
        <v>9.1828789009120639E-3</v>
      </c>
      <c r="M90" s="285"/>
      <c r="N90" s="70"/>
    </row>
    <row r="91" spans="1:14" s="8" customFormat="1" x14ac:dyDescent="0.25">
      <c r="A91" s="59"/>
      <c r="B91" s="74"/>
      <c r="C91" s="71"/>
      <c r="D91" s="433" t="s">
        <v>64</v>
      </c>
      <c r="E91" s="433"/>
      <c r="F91" s="433"/>
      <c r="G91" s="84">
        <f>B90/'Demographic Data'!$B$4</f>
        <v>52.259573333333343</v>
      </c>
      <c r="H91" s="115" t="s">
        <v>66</v>
      </c>
      <c r="I91" s="116"/>
      <c r="J91" s="117"/>
      <c r="K91" s="71">
        <f>SUMIFS($G$75:$G$87, $B$75:$B$87, "Transportation", $H$75:$H$87, "Yes")</f>
        <v>867342.40000000014</v>
      </c>
      <c r="L91" s="97">
        <f>K91/$B$90</f>
        <v>0.55322712163997767</v>
      </c>
      <c r="M91" s="283"/>
      <c r="N91" s="149"/>
    </row>
    <row r="92" spans="1:14" x14ac:dyDescent="0.25">
      <c r="A92" s="62"/>
      <c r="B92" s="83"/>
      <c r="C92" s="82"/>
      <c r="D92" s="426" t="s">
        <v>60</v>
      </c>
      <c r="E92" s="426"/>
      <c r="F92" s="426"/>
      <c r="G92" s="132">
        <f>B90/'Demographic Data'!$B$5</f>
        <v>1.3064893333333334</v>
      </c>
      <c r="H92" s="116" t="s">
        <v>126</v>
      </c>
      <c r="I92" s="116"/>
      <c r="J92" s="117"/>
      <c r="K92" s="71">
        <f>SUMIFS($G$75:$G$87, $B$75:$B$87, "Meals/Per Diem", $H$75:$H$87, "Yes")</f>
        <v>516648</v>
      </c>
      <c r="L92" s="97">
        <f>K92/$B$90</f>
        <v>0.32953962119348845</v>
      </c>
      <c r="M92" s="285"/>
      <c r="N92" s="69"/>
    </row>
    <row r="93" spans="1:14" x14ac:dyDescent="0.25">
      <c r="A93" s="48"/>
      <c r="B93" s="48"/>
      <c r="C93" s="48"/>
      <c r="D93" s="451"/>
      <c r="E93" s="451"/>
      <c r="F93" s="451"/>
      <c r="G93" s="193"/>
      <c r="H93" s="59" t="s">
        <v>67</v>
      </c>
      <c r="I93" s="59"/>
      <c r="J93" s="59"/>
      <c r="K93" s="71">
        <f>SUMIFS($G$75:$G$87, $B$75:$B$87, "Facilities", $H$75:$H$87, "Yes")</f>
        <v>169400.00000000003</v>
      </c>
      <c r="L93" s="97">
        <f>K93/$B$90</f>
        <v>0.10805037826562176</v>
      </c>
      <c r="M93" s="285"/>
      <c r="N93" s="69"/>
    </row>
    <row r="94" spans="1:14" x14ac:dyDescent="0.25">
      <c r="A94" s="48"/>
      <c r="B94" s="48"/>
      <c r="C94" s="48"/>
      <c r="D94" s="48"/>
      <c r="E94" s="48"/>
      <c r="F94" s="48"/>
      <c r="G94" s="193"/>
      <c r="H94" s="8"/>
      <c r="I94" s="8"/>
      <c r="J94" s="8"/>
      <c r="K94" s="67"/>
      <c r="L94" s="69">
        <f>SUM(L90:L93)</f>
        <v>1</v>
      </c>
      <c r="M94" s="285"/>
      <c r="N94" s="69"/>
    </row>
    <row r="95" spans="1:14" x14ac:dyDescent="0.25">
      <c r="A95" s="347" t="s">
        <v>133</v>
      </c>
      <c r="B95" s="48"/>
      <c r="C95" s="48"/>
      <c r="D95" s="48"/>
      <c r="E95" s="48"/>
      <c r="F95" s="48"/>
      <c r="G95" s="193"/>
      <c r="H95" s="8"/>
      <c r="I95" s="8"/>
      <c r="J95" s="8"/>
      <c r="K95" s="67"/>
      <c r="L95" s="69"/>
      <c r="M95" s="285"/>
      <c r="N95" s="69"/>
    </row>
    <row r="96" spans="1:14" ht="30" x14ac:dyDescent="0.25">
      <c r="A96" s="142" t="s">
        <v>1</v>
      </c>
      <c r="B96" s="144" t="s">
        <v>0</v>
      </c>
      <c r="C96" s="143" t="s">
        <v>134</v>
      </c>
      <c r="D96" s="143" t="s">
        <v>25</v>
      </c>
      <c r="E96" s="143" t="s">
        <v>20</v>
      </c>
      <c r="F96" s="143" t="s">
        <v>21</v>
      </c>
      <c r="G96" s="143" t="s">
        <v>114</v>
      </c>
      <c r="H96" s="143" t="s">
        <v>17</v>
      </c>
      <c r="I96" s="8"/>
      <c r="J96" s="8"/>
      <c r="K96" s="67"/>
      <c r="L96" s="69"/>
      <c r="M96" s="285"/>
      <c r="N96" s="69"/>
    </row>
    <row r="97" spans="1:17" x14ac:dyDescent="0.25">
      <c r="A97" s="9" t="s">
        <v>127</v>
      </c>
      <c r="B97" s="9" t="s">
        <v>3</v>
      </c>
      <c r="C97" s="219">
        <f>'Prices_non-Labor'!$F$12</f>
        <v>1.32</v>
      </c>
      <c r="D97" s="195">
        <f>$K$7</f>
        <v>0.1</v>
      </c>
      <c r="E97" s="65">
        <f>'Demographic Data'!$B$4</f>
        <v>30000</v>
      </c>
      <c r="F97" s="51">
        <f>SUM(E97*D97)</f>
        <v>3000</v>
      </c>
      <c r="G97" s="196">
        <f>SUM(C97*F97)</f>
        <v>3960</v>
      </c>
      <c r="H97" s="61" t="s">
        <v>16</v>
      </c>
      <c r="I97" s="194"/>
      <c r="J97" s="70"/>
      <c r="K97" s="198"/>
      <c r="L97" s="64"/>
      <c r="M97" s="285"/>
      <c r="N97" s="69"/>
    </row>
    <row r="98" spans="1:17" x14ac:dyDescent="0.25">
      <c r="A98" s="9" t="s">
        <v>72</v>
      </c>
      <c r="B98" s="9" t="s">
        <v>3</v>
      </c>
      <c r="C98" s="219">
        <f>'Prices_non-Labor'!$F$13</f>
        <v>1.1000000000000001</v>
      </c>
      <c r="D98" s="195">
        <f>$K$7</f>
        <v>0.1</v>
      </c>
      <c r="E98" s="65">
        <f>'Demographic Data'!$B$5</f>
        <v>1200000</v>
      </c>
      <c r="F98" s="51">
        <f>SUM(E98*D98)</f>
        <v>120000</v>
      </c>
      <c r="G98" s="196">
        <f>SUM(C98*F98)</f>
        <v>132000</v>
      </c>
      <c r="H98" s="61" t="s">
        <v>16</v>
      </c>
      <c r="I98" s="194"/>
      <c r="J98" s="70"/>
      <c r="K98" s="198"/>
      <c r="L98" s="64"/>
      <c r="M98" s="285"/>
      <c r="N98" s="69"/>
    </row>
    <row r="99" spans="1:17" x14ac:dyDescent="0.25">
      <c r="A99" s="9"/>
      <c r="B99" s="9"/>
      <c r="C99" s="43"/>
      <c r="D99" s="90"/>
      <c r="E99" s="65"/>
      <c r="F99" s="51"/>
      <c r="G99" s="196"/>
      <c r="H99" s="61"/>
      <c r="I99" s="205"/>
      <c r="J99" s="70"/>
      <c r="K99" s="198"/>
      <c r="L99" s="64"/>
      <c r="M99" s="285"/>
      <c r="N99" s="69"/>
    </row>
    <row r="100" spans="1:17" x14ac:dyDescent="0.25">
      <c r="A100" s="8"/>
      <c r="B100" s="8"/>
      <c r="C100" s="48"/>
      <c r="D100" s="8"/>
      <c r="E100" s="8"/>
      <c r="F100" s="8"/>
      <c r="G100" s="8"/>
      <c r="H100" s="8"/>
      <c r="I100" s="8"/>
      <c r="J100" s="8"/>
      <c r="K100" s="8"/>
      <c r="L100" s="66"/>
      <c r="M100" s="285"/>
      <c r="N100" s="69"/>
    </row>
    <row r="101" spans="1:17" x14ac:dyDescent="0.25">
      <c r="A101" s="175" t="s">
        <v>1</v>
      </c>
      <c r="B101" s="176" t="s">
        <v>32</v>
      </c>
      <c r="C101" s="176"/>
      <c r="D101" s="175" t="s">
        <v>1</v>
      </c>
      <c r="E101" s="175"/>
      <c r="F101" s="175"/>
      <c r="G101" s="176" t="s">
        <v>32</v>
      </c>
      <c r="H101" s="68"/>
      <c r="I101" s="49"/>
      <c r="J101" s="49"/>
      <c r="L101" s="54"/>
      <c r="M101" s="286"/>
    </row>
    <row r="102" spans="1:17" x14ac:dyDescent="0.25">
      <c r="A102" s="59" t="s">
        <v>75</v>
      </c>
      <c r="B102" s="65">
        <f>SUM(G97:G98)</f>
        <v>135960</v>
      </c>
      <c r="C102" s="79"/>
      <c r="D102" s="433" t="s">
        <v>80</v>
      </c>
      <c r="E102" s="433"/>
      <c r="F102" s="433"/>
      <c r="G102" s="84">
        <f>B102/'Demographic Data'!$B$3</f>
        <v>13.596</v>
      </c>
      <c r="H102" s="69"/>
      <c r="I102" s="8"/>
      <c r="J102" s="8"/>
      <c r="K102" s="4"/>
      <c r="L102" s="55"/>
      <c r="M102" s="287"/>
      <c r="N102" s="8"/>
      <c r="O102" s="8"/>
      <c r="P102" s="8"/>
    </row>
    <row r="103" spans="1:17" x14ac:dyDescent="0.25">
      <c r="A103" s="59"/>
      <c r="B103" s="86"/>
      <c r="C103" s="79"/>
      <c r="D103" s="433" t="s">
        <v>81</v>
      </c>
      <c r="E103" s="433"/>
      <c r="F103" s="433"/>
      <c r="G103" s="84">
        <f>B102/'Demographic Data'!$B$4</f>
        <v>4.532</v>
      </c>
      <c r="H103" s="69" t="s">
        <v>1</v>
      </c>
      <c r="I103" s="8"/>
      <c r="J103" s="8"/>
      <c r="L103" s="135"/>
      <c r="M103" s="284"/>
      <c r="N103" s="8"/>
      <c r="O103" s="8"/>
      <c r="P103" s="8"/>
    </row>
    <row r="104" spans="1:17" x14ac:dyDescent="0.25">
      <c r="A104" s="62"/>
      <c r="B104" s="83"/>
      <c r="C104" s="79"/>
      <c r="D104" s="426" t="s">
        <v>82</v>
      </c>
      <c r="E104" s="426"/>
      <c r="F104" s="426"/>
      <c r="G104" s="302">
        <f>B102/'Demographic Data'!$B$5</f>
        <v>0.1133</v>
      </c>
      <c r="H104" s="145"/>
      <c r="I104" s="8"/>
      <c r="J104" s="8"/>
      <c r="L104" s="135"/>
      <c r="M104" s="284"/>
      <c r="N104" s="8"/>
      <c r="O104" s="8"/>
      <c r="P104" s="8"/>
    </row>
    <row r="105" spans="1:17" x14ac:dyDescent="0.25">
      <c r="A105" s="59"/>
      <c r="B105" s="83"/>
      <c r="C105" s="59"/>
      <c r="D105" s="437" t="s">
        <v>185</v>
      </c>
      <c r="E105" s="437"/>
      <c r="F105" s="437"/>
      <c r="G105" s="301">
        <f>SUM(G98)/'Demographic Data'!B5</f>
        <v>0.11</v>
      </c>
      <c r="H105" s="199"/>
      <c r="I105" s="69"/>
      <c r="J105" s="8"/>
      <c r="K105" s="8"/>
      <c r="M105" s="288"/>
      <c r="N105" s="69"/>
      <c r="O105" s="8"/>
      <c r="P105" s="8"/>
      <c r="Q105" s="8"/>
    </row>
    <row r="106" spans="1:17" x14ac:dyDescent="0.25">
      <c r="I106" s="69"/>
      <c r="L106" s="55"/>
      <c r="M106" s="288"/>
      <c r="N106" s="69"/>
      <c r="O106" s="8"/>
      <c r="P106" s="8"/>
      <c r="Q106" s="8"/>
    </row>
    <row r="107" spans="1:17" x14ac:dyDescent="0.25">
      <c r="A107" s="381" t="s">
        <v>324</v>
      </c>
      <c r="B107" s="55"/>
      <c r="C107" s="55"/>
      <c r="D107" s="56"/>
      <c r="E107" s="56"/>
      <c r="F107" s="56"/>
      <c r="G107" s="56"/>
      <c r="H107" s="56"/>
      <c r="I107" s="56"/>
      <c r="J107" s="56"/>
      <c r="K107" s="56"/>
      <c r="L107" s="56"/>
      <c r="M107" s="288"/>
      <c r="N107" s="69"/>
      <c r="O107" s="8"/>
      <c r="P107" s="8"/>
      <c r="Q107" s="8"/>
    </row>
    <row r="108" spans="1:17" s="8" customFormat="1" x14ac:dyDescent="0.25">
      <c r="A108" s="274" t="s">
        <v>236</v>
      </c>
      <c r="B108" s="74">
        <f>B8</f>
        <v>4728373.830612245</v>
      </c>
      <c r="C108" s="55"/>
      <c r="D108" s="56"/>
      <c r="E108" s="56"/>
      <c r="F108" s="56"/>
      <c r="G108" s="56"/>
      <c r="H108" s="56"/>
      <c r="I108" s="56"/>
      <c r="J108" s="56"/>
      <c r="K108" s="56"/>
      <c r="L108" s="56"/>
      <c r="M108" s="288"/>
      <c r="N108" s="69"/>
    </row>
    <row r="109" spans="1:17" s="8" customFormat="1" x14ac:dyDescent="0.25">
      <c r="A109" s="59" t="s">
        <v>3</v>
      </c>
      <c r="B109" s="74">
        <f>K25+K64+K90+B102+X25+X52+X65</f>
        <v>243672</v>
      </c>
      <c r="C109" s="194" t="s">
        <v>1</v>
      </c>
      <c r="D109" s="124"/>
      <c r="E109" s="163"/>
      <c r="F109" s="102"/>
      <c r="G109" s="197"/>
      <c r="H109" s="197"/>
      <c r="I109" s="194"/>
      <c r="J109" s="70"/>
      <c r="K109" s="198"/>
      <c r="L109" s="103"/>
      <c r="M109" s="288"/>
      <c r="N109" s="69"/>
    </row>
    <row r="110" spans="1:17" s="8" customFormat="1" x14ac:dyDescent="0.25">
      <c r="A110" s="59" t="s">
        <v>327</v>
      </c>
      <c r="B110" s="386">
        <f xml:space="preserve"> (B109/B108)</f>
        <v>5.1533996407481297E-2</v>
      </c>
      <c r="D110" s="163"/>
      <c r="E110" s="163"/>
      <c r="F110" s="102"/>
      <c r="G110" s="197"/>
      <c r="H110" s="197"/>
      <c r="I110" s="194"/>
      <c r="J110" s="70"/>
      <c r="K110" s="198"/>
      <c r="L110" s="103"/>
      <c r="M110" s="288"/>
      <c r="N110" s="69"/>
    </row>
    <row r="111" spans="1:17" s="8" customFormat="1" x14ac:dyDescent="0.25">
      <c r="A111" s="59" t="s">
        <v>109</v>
      </c>
      <c r="B111" s="387">
        <f>SUM(K27+K66+K92+X27+X54+X67)</f>
        <v>1517962.5</v>
      </c>
      <c r="D111" s="163"/>
      <c r="E111" s="163"/>
      <c r="F111" s="102"/>
      <c r="G111" s="70"/>
      <c r="H111" s="194"/>
      <c r="I111" s="194"/>
      <c r="J111" s="70"/>
      <c r="K111" s="198"/>
      <c r="L111" s="103"/>
      <c r="M111" s="288"/>
      <c r="N111" s="69"/>
    </row>
    <row r="112" spans="1:17" s="8" customFormat="1" x14ac:dyDescent="0.25">
      <c r="A112" s="59" t="s">
        <v>328</v>
      </c>
      <c r="B112" s="386">
        <f xml:space="preserve"> (B111/$B$108)</f>
        <v>0.321032675160426</v>
      </c>
      <c r="E112" s="163"/>
      <c r="F112" s="102"/>
      <c r="H112" s="70"/>
      <c r="I112" s="194"/>
      <c r="J112" s="70"/>
      <c r="K112" s="198"/>
      <c r="L112" s="103"/>
      <c r="M112" s="288"/>
      <c r="N112" s="69"/>
    </row>
    <row r="113" spans="1:22" s="8" customFormat="1" x14ac:dyDescent="0.25">
      <c r="A113" s="59" t="s">
        <v>41</v>
      </c>
      <c r="B113" s="74">
        <f>SUM(K26+K65+K91+X26+X53+X66)</f>
        <v>2470639.330612245</v>
      </c>
      <c r="C113" s="194"/>
      <c r="L113" s="67"/>
      <c r="M113" s="288"/>
      <c r="N113" s="69"/>
    </row>
    <row r="114" spans="1:22" s="8" customFormat="1" x14ac:dyDescent="0.25">
      <c r="A114" s="59" t="s">
        <v>329</v>
      </c>
      <c r="B114" s="386">
        <f xml:space="preserve"> (B113/$B$108)</f>
        <v>0.52251353617959151</v>
      </c>
      <c r="D114" s="49"/>
      <c r="E114" s="49"/>
      <c r="F114" s="49"/>
      <c r="G114" s="55"/>
      <c r="H114" s="55"/>
      <c r="I114" s="68"/>
      <c r="J114" s="49"/>
      <c r="K114" s="49"/>
      <c r="M114" s="288"/>
      <c r="N114" s="69"/>
    </row>
    <row r="115" spans="1:22" s="8" customFormat="1" x14ac:dyDescent="0.25">
      <c r="A115" s="59" t="s">
        <v>15</v>
      </c>
      <c r="B115" s="387">
        <f>SUM(K28+K67+K93+X28+X55)</f>
        <v>496100.00000000012</v>
      </c>
      <c r="D115" s="432"/>
      <c r="E115" s="432"/>
      <c r="F115" s="432"/>
      <c r="G115" s="125"/>
      <c r="H115" s="135"/>
      <c r="I115" s="69"/>
      <c r="L115" s="147"/>
      <c r="M115" s="288"/>
      <c r="N115" s="69"/>
    </row>
    <row r="116" spans="1:22" s="8" customFormat="1" x14ac:dyDescent="0.25">
      <c r="A116" s="59" t="s">
        <v>330</v>
      </c>
      <c r="B116" s="386">
        <f xml:space="preserve"> (B115/$B$108)</f>
        <v>0.10491979225250121</v>
      </c>
      <c r="C116" s="194">
        <f>SUM(B109+B111+B113+B115)</f>
        <v>4728373.830612245</v>
      </c>
      <c r="D116" s="432"/>
      <c r="E116" s="432"/>
      <c r="F116" s="432"/>
      <c r="G116" s="125"/>
      <c r="H116" s="199"/>
      <c r="I116" s="69"/>
      <c r="M116" s="288"/>
      <c r="N116" s="69"/>
    </row>
    <row r="117" spans="1:22" s="8" customFormat="1" x14ac:dyDescent="0.25">
      <c r="A117" s="75"/>
      <c r="B117" s="273"/>
      <c r="C117" s="388">
        <f>SUM(B110+B112+B114+B116)</f>
        <v>1</v>
      </c>
      <c r="D117" s="451"/>
      <c r="E117" s="451"/>
      <c r="F117" s="451"/>
      <c r="G117" s="70"/>
      <c r="H117" s="199"/>
      <c r="I117" s="145"/>
      <c r="M117" s="288"/>
      <c r="N117" s="69"/>
    </row>
    <row r="118" spans="1:22" s="8" customFormat="1" x14ac:dyDescent="0.25">
      <c r="A118" s="75"/>
      <c r="B118" s="273"/>
      <c r="C118" s="276"/>
      <c r="D118" s="56"/>
      <c r="E118" s="56"/>
      <c r="F118" s="56"/>
      <c r="G118" s="56"/>
      <c r="H118" s="203"/>
      <c r="I118" s="204"/>
      <c r="J118" s="56"/>
      <c r="K118" s="56"/>
      <c r="L118" s="56"/>
      <c r="M118" s="288"/>
      <c r="N118" s="69"/>
    </row>
    <row r="119" spans="1:22" x14ac:dyDescent="0.25">
      <c r="A119" s="8"/>
      <c r="B119" s="8"/>
      <c r="C119" s="8"/>
      <c r="D119" s="70"/>
      <c r="E119" s="70"/>
      <c r="F119" s="70"/>
      <c r="G119" s="124"/>
      <c r="H119" s="70"/>
      <c r="I119" s="70"/>
      <c r="J119" s="70"/>
      <c r="K119" s="70"/>
      <c r="L119" s="103"/>
      <c r="M119" s="286"/>
      <c r="N119" s="54"/>
    </row>
    <row r="120" spans="1:22" x14ac:dyDescent="0.25">
      <c r="A120" s="8"/>
      <c r="B120" s="8"/>
      <c r="C120" s="8"/>
      <c r="D120" s="8"/>
      <c r="E120" s="8"/>
      <c r="I120" s="432"/>
      <c r="J120" s="432"/>
      <c r="K120" s="432"/>
      <c r="L120" s="67"/>
      <c r="M120" s="282"/>
      <c r="N120" s="69"/>
    </row>
    <row r="121" spans="1:22" x14ac:dyDescent="0.25">
      <c r="A121" s="8"/>
      <c r="B121" s="8"/>
      <c r="C121" s="8"/>
      <c r="D121" s="8"/>
      <c r="E121" s="8"/>
      <c r="M121" s="282"/>
      <c r="N121" s="69"/>
    </row>
    <row r="122" spans="1:22" x14ac:dyDescent="0.25">
      <c r="A122" s="49"/>
      <c r="B122" s="55"/>
      <c r="C122" s="55"/>
      <c r="D122" s="8"/>
      <c r="E122" s="8"/>
      <c r="G122" s="80"/>
      <c r="M122" s="282"/>
      <c r="N122" s="69"/>
    </row>
    <row r="123" spans="1:22" x14ac:dyDescent="0.25">
      <c r="A123" s="8"/>
      <c r="B123" s="8"/>
      <c r="C123" s="49"/>
      <c r="D123" s="8"/>
      <c r="E123" s="206"/>
      <c r="G123" s="80"/>
      <c r="N123" s="8"/>
    </row>
    <row r="124" spans="1:22" x14ac:dyDescent="0.25">
      <c r="A124" s="49"/>
      <c r="B124" s="194"/>
      <c r="C124" s="135"/>
      <c r="D124" s="8"/>
      <c r="E124" s="8"/>
      <c r="G124" s="80"/>
      <c r="M124" s="289"/>
      <c r="N124" s="56"/>
      <c r="O124" s="5"/>
      <c r="P124" s="5"/>
      <c r="Q124" s="5"/>
      <c r="R124" s="5"/>
      <c r="S124" s="4"/>
      <c r="T124" s="5"/>
      <c r="U124" s="5"/>
      <c r="V124" s="5"/>
    </row>
    <row r="125" spans="1:22" x14ac:dyDescent="0.25">
      <c r="A125" s="49"/>
      <c r="B125" s="194"/>
      <c r="C125" s="135"/>
      <c r="D125" s="8"/>
      <c r="E125" s="8"/>
      <c r="N125" s="8"/>
      <c r="T125" s="42"/>
    </row>
    <row r="126" spans="1:22" x14ac:dyDescent="0.25">
      <c r="A126" s="49"/>
      <c r="B126" s="194"/>
      <c r="C126" s="49"/>
      <c r="D126" s="8"/>
      <c r="E126" s="8"/>
      <c r="N126" s="8"/>
    </row>
    <row r="127" spans="1:22" x14ac:dyDescent="0.25">
      <c r="A127" s="49"/>
      <c r="B127" s="194"/>
      <c r="C127" s="135"/>
      <c r="D127" s="8"/>
      <c r="E127" s="8"/>
      <c r="N127" s="8"/>
    </row>
    <row r="128" spans="1:22" x14ac:dyDescent="0.25">
      <c r="A128" s="49"/>
      <c r="B128" s="194"/>
      <c r="C128" s="135"/>
      <c r="D128" s="8"/>
      <c r="E128" s="8"/>
      <c r="M128" s="290"/>
      <c r="N128" s="8"/>
    </row>
    <row r="129" spans="1:14" s="8" customFormat="1" x14ac:dyDescent="0.25">
      <c r="A129" s="49"/>
      <c r="B129" s="194"/>
      <c r="C129" s="135"/>
      <c r="E129" s="206"/>
      <c r="F129"/>
      <c r="G129"/>
      <c r="H129" s="1"/>
      <c r="I129"/>
      <c r="J129"/>
      <c r="K129"/>
      <c r="L129"/>
      <c r="M129" s="291"/>
    </row>
    <row r="130" spans="1:14" s="8" customFormat="1" ht="12" customHeight="1" x14ac:dyDescent="0.25">
      <c r="A130" s="49"/>
      <c r="F130"/>
      <c r="G130"/>
      <c r="H130" s="1"/>
      <c r="I130"/>
      <c r="J130"/>
      <c r="K130"/>
      <c r="L130"/>
      <c r="M130" s="282"/>
    </row>
    <row r="131" spans="1:14" s="8" customFormat="1" hidden="1" x14ac:dyDescent="0.25">
      <c r="A131" s="49"/>
      <c r="B131" s="55"/>
      <c r="C131" s="55"/>
      <c r="F131"/>
      <c r="G131"/>
      <c r="H131" s="1"/>
      <c r="I131"/>
      <c r="J131"/>
      <c r="K131"/>
      <c r="L131"/>
      <c r="M131" s="291"/>
    </row>
    <row r="132" spans="1:14" s="8" customFormat="1" hidden="1" x14ac:dyDescent="0.25">
      <c r="F132"/>
      <c r="G132"/>
      <c r="H132" s="1"/>
      <c r="I132"/>
      <c r="J132"/>
      <c r="K132"/>
      <c r="L132"/>
      <c r="M132" s="291"/>
    </row>
    <row r="133" spans="1:14" s="8" customFormat="1" ht="3" hidden="1" customHeight="1" x14ac:dyDescent="0.25">
      <c r="A133" s="49"/>
      <c r="B133" s="70"/>
      <c r="C133" s="67"/>
      <c r="D133" s="69"/>
      <c r="F133"/>
      <c r="G133"/>
      <c r="H133" s="1"/>
      <c r="I133"/>
      <c r="J133"/>
      <c r="K133"/>
      <c r="L133"/>
      <c r="M133" s="290"/>
      <c r="N133" s="68"/>
    </row>
    <row r="134" spans="1:14" s="8" customFormat="1" hidden="1" x14ac:dyDescent="0.25">
      <c r="A134" s="49"/>
      <c r="B134" s="194"/>
      <c r="C134" s="67"/>
      <c r="D134" s="69"/>
      <c r="F134"/>
      <c r="G134"/>
      <c r="H134" s="1"/>
      <c r="I134"/>
      <c r="J134"/>
      <c r="K134"/>
      <c r="L134"/>
      <c r="M134" s="282"/>
      <c r="N134" s="69"/>
    </row>
    <row r="135" spans="1:14" s="8" customFormat="1" hidden="1" x14ac:dyDescent="0.25">
      <c r="A135" s="49"/>
      <c r="B135" s="194"/>
      <c r="C135" s="67"/>
      <c r="D135" s="69"/>
      <c r="F135"/>
      <c r="G135"/>
      <c r="H135" s="1"/>
      <c r="I135"/>
      <c r="J135"/>
      <c r="K135"/>
      <c r="L135"/>
      <c r="M135" s="282"/>
      <c r="N135" s="69"/>
    </row>
    <row r="136" spans="1:14" s="8" customFormat="1" ht="6.75" hidden="1" customHeight="1" x14ac:dyDescent="0.25">
      <c r="A136" s="49"/>
      <c r="B136" s="194"/>
      <c r="C136" s="67"/>
      <c r="D136" s="69"/>
      <c r="F136"/>
      <c r="G136"/>
      <c r="H136" s="1"/>
      <c r="I136"/>
      <c r="J136"/>
      <c r="K136"/>
      <c r="L136"/>
      <c r="M136" s="7"/>
    </row>
    <row r="137" spans="1:14" s="8" customFormat="1" hidden="1" x14ac:dyDescent="0.25">
      <c r="A137" s="49"/>
      <c r="B137" s="194"/>
      <c r="C137" s="67"/>
      <c r="D137" s="69"/>
      <c r="F137"/>
      <c r="G137"/>
      <c r="H137" s="1"/>
      <c r="I137"/>
      <c r="J137"/>
      <c r="K137"/>
      <c r="L137"/>
      <c r="M137" s="7"/>
    </row>
    <row r="138" spans="1:14" s="8" customFormat="1" ht="14.25" hidden="1" customHeight="1" x14ac:dyDescent="0.25">
      <c r="A138" s="49"/>
      <c r="B138" s="198"/>
      <c r="C138" s="135"/>
      <c r="D138" s="69"/>
      <c r="F138"/>
      <c r="G138"/>
      <c r="H138" s="1"/>
      <c r="I138"/>
      <c r="J138"/>
      <c r="K138"/>
      <c r="L138"/>
      <c r="M138" s="7"/>
    </row>
    <row r="139" spans="1:14" s="8" customFormat="1" hidden="1" x14ac:dyDescent="0.25">
      <c r="A139" s="49"/>
      <c r="F139"/>
      <c r="G139"/>
      <c r="H139" s="1"/>
      <c r="I139"/>
      <c r="J139"/>
      <c r="K139"/>
      <c r="L139"/>
      <c r="M139" s="7"/>
    </row>
    <row r="140" spans="1:14" s="8" customFormat="1" hidden="1" x14ac:dyDescent="0.25">
      <c r="B140" s="194"/>
      <c r="F140"/>
      <c r="G140"/>
      <c r="H140" s="1"/>
      <c r="I140"/>
      <c r="J140"/>
      <c r="K140"/>
      <c r="L140"/>
      <c r="M140" s="7"/>
    </row>
    <row r="141" spans="1:14" s="8" customFormat="1" hidden="1" x14ac:dyDescent="0.25">
      <c r="F141"/>
      <c r="G141"/>
      <c r="H141" s="1"/>
      <c r="I141"/>
      <c r="J141"/>
      <c r="K141"/>
      <c r="L141"/>
      <c r="M141" s="7"/>
    </row>
    <row r="142" spans="1:14" s="8" customFormat="1" hidden="1" x14ac:dyDescent="0.25">
      <c r="F142"/>
      <c r="G142"/>
      <c r="H142" s="1"/>
      <c r="I142"/>
      <c r="J142"/>
      <c r="K142"/>
      <c r="L142"/>
      <c r="M142" s="7"/>
    </row>
    <row r="143" spans="1:14" s="8" customFormat="1" hidden="1" x14ac:dyDescent="0.25">
      <c r="F143"/>
      <c r="G143"/>
      <c r="H143" s="1"/>
      <c r="I143"/>
      <c r="J143"/>
      <c r="K143"/>
      <c r="L143"/>
      <c r="M143" s="144"/>
      <c r="N143" s="118"/>
    </row>
    <row r="144" spans="1:14" s="8" customFormat="1" hidden="1" x14ac:dyDescent="0.25">
      <c r="F144"/>
      <c r="G144"/>
      <c r="H144" s="1"/>
      <c r="I144"/>
      <c r="J144"/>
      <c r="K144"/>
      <c r="L144"/>
      <c r="M144" s="292"/>
      <c r="N144" s="97"/>
    </row>
    <row r="145" spans="1:14" s="8" customFormat="1" hidden="1" x14ac:dyDescent="0.25">
      <c r="F145"/>
      <c r="G145"/>
      <c r="H145" s="1"/>
      <c r="I145"/>
      <c r="J145"/>
      <c r="K145"/>
      <c r="L145"/>
      <c r="M145" s="292"/>
      <c r="N145" s="97"/>
    </row>
    <row r="146" spans="1:14" s="8" customFormat="1" hidden="1" x14ac:dyDescent="0.25">
      <c r="F146"/>
      <c r="G146"/>
      <c r="H146" s="1"/>
      <c r="I146"/>
      <c r="J146"/>
      <c r="K146"/>
      <c r="L146"/>
      <c r="M146" s="292"/>
      <c r="N146" s="97"/>
    </row>
    <row r="147" spans="1:14" s="8" customFormat="1" hidden="1" x14ac:dyDescent="0.25">
      <c r="F147"/>
      <c r="G147"/>
      <c r="H147" s="1"/>
      <c r="I147"/>
      <c r="J147"/>
      <c r="K147"/>
      <c r="L147"/>
      <c r="M147" s="292"/>
      <c r="N147" s="97"/>
    </row>
    <row r="148" spans="1:14" s="8" customFormat="1" hidden="1" x14ac:dyDescent="0.25">
      <c r="F148"/>
      <c r="G148"/>
      <c r="H148" s="1"/>
      <c r="I148"/>
      <c r="J148"/>
      <c r="K148"/>
      <c r="L148"/>
      <c r="M148" s="282"/>
      <c r="N148" s="69"/>
    </row>
    <row r="149" spans="1:14" s="8" customFormat="1" hidden="1" x14ac:dyDescent="0.25">
      <c r="F149"/>
      <c r="G149"/>
      <c r="H149" s="1"/>
      <c r="I149"/>
      <c r="J149"/>
      <c r="K149"/>
      <c r="L149"/>
      <c r="M149" s="282"/>
      <c r="N149" s="69"/>
    </row>
    <row r="150" spans="1:14" s="8" customFormat="1" hidden="1" x14ac:dyDescent="0.25">
      <c r="F150"/>
      <c r="G150"/>
      <c r="H150" s="1"/>
      <c r="I150"/>
      <c r="J150"/>
      <c r="K150"/>
      <c r="L150"/>
      <c r="M150" s="282"/>
      <c r="N150" s="69"/>
    </row>
    <row r="151" spans="1:14" s="8" customFormat="1" hidden="1" x14ac:dyDescent="0.25">
      <c r="F151"/>
      <c r="G151"/>
      <c r="H151" s="1"/>
      <c r="I151"/>
      <c r="J151"/>
      <c r="K151"/>
      <c r="L151"/>
      <c r="M151" s="282"/>
      <c r="N151" s="69"/>
    </row>
    <row r="152" spans="1:14" s="8" customFormat="1" hidden="1" x14ac:dyDescent="0.25">
      <c r="F152"/>
      <c r="G152"/>
      <c r="H152" s="1"/>
      <c r="I152"/>
      <c r="J152"/>
      <c r="K152"/>
      <c r="L152"/>
      <c r="M152" s="144"/>
      <c r="N152" s="118"/>
    </row>
    <row r="153" spans="1:14" s="8" customFormat="1" hidden="1" x14ac:dyDescent="0.25">
      <c r="F153"/>
      <c r="G153"/>
      <c r="H153" s="1"/>
      <c r="I153"/>
      <c r="J153"/>
      <c r="K153"/>
      <c r="L153"/>
      <c r="M153" s="292"/>
      <c r="N153" s="97"/>
    </row>
    <row r="154" spans="1:14" s="8" customFormat="1" hidden="1" x14ac:dyDescent="0.25">
      <c r="F154"/>
      <c r="G154"/>
      <c r="H154" s="1"/>
      <c r="I154"/>
      <c r="J154"/>
      <c r="K154"/>
      <c r="L154"/>
      <c r="M154" s="282"/>
      <c r="N154" s="69"/>
    </row>
    <row r="155" spans="1:14" hidden="1" x14ac:dyDescent="0.25">
      <c r="A155" s="8"/>
      <c r="B155" s="8"/>
      <c r="C155" s="8"/>
      <c r="D155" s="8"/>
      <c r="E155" s="8"/>
      <c r="M155" s="282"/>
      <c r="N155" s="69"/>
    </row>
    <row r="156" spans="1:14" x14ac:dyDescent="0.25">
      <c r="A156" s="8"/>
      <c r="B156" s="8"/>
      <c r="C156" s="8"/>
      <c r="D156" s="8"/>
      <c r="E156" s="8"/>
    </row>
    <row r="157" spans="1:14" x14ac:dyDescent="0.25">
      <c r="A157" s="8"/>
      <c r="B157" s="8"/>
      <c r="C157" s="8"/>
      <c r="D157" s="8"/>
      <c r="E157" s="8"/>
    </row>
    <row r="158" spans="1:14" x14ac:dyDescent="0.25">
      <c r="A158" s="8"/>
      <c r="B158" s="8"/>
      <c r="C158" s="8"/>
      <c r="D158" s="8"/>
      <c r="E158" s="8"/>
    </row>
  </sheetData>
  <mergeCells count="45">
    <mergeCell ref="D105:F105"/>
    <mergeCell ref="D115:F115"/>
    <mergeCell ref="D116:F116"/>
    <mergeCell ref="D117:F117"/>
    <mergeCell ref="I120:K120"/>
    <mergeCell ref="D104:F104"/>
    <mergeCell ref="D64:F64"/>
    <mergeCell ref="D65:F65"/>
    <mergeCell ref="D66:F66"/>
    <mergeCell ref="D67:F67"/>
    <mergeCell ref="D91:F91"/>
    <mergeCell ref="D92:F92"/>
    <mergeCell ref="D93:F93"/>
    <mergeCell ref="D102:F102"/>
    <mergeCell ref="D103:F103"/>
    <mergeCell ref="I68:K68"/>
    <mergeCell ref="D90:F90"/>
    <mergeCell ref="E1:H1"/>
    <mergeCell ref="I1:M1"/>
    <mergeCell ref="E2:H2"/>
    <mergeCell ref="I2:M2"/>
    <mergeCell ref="H28:J28"/>
    <mergeCell ref="I29:K29"/>
    <mergeCell ref="R1:U1"/>
    <mergeCell ref="V1:Z1"/>
    <mergeCell ref="R2:T2"/>
    <mergeCell ref="U2:X2"/>
    <mergeCell ref="R3:S3"/>
    <mergeCell ref="U3:W3"/>
    <mergeCell ref="R4:S4"/>
    <mergeCell ref="U4:W4"/>
    <mergeCell ref="U6:W6"/>
    <mergeCell ref="R7:S7"/>
    <mergeCell ref="U7:W7"/>
    <mergeCell ref="R8:S8"/>
    <mergeCell ref="U28:W28"/>
    <mergeCell ref="V29:X29"/>
    <mergeCell ref="Q52:S52"/>
    <mergeCell ref="Q53:S53"/>
    <mergeCell ref="Q67:S67"/>
    <mergeCell ref="Q54:S54"/>
    <mergeCell ref="Q55:S55"/>
    <mergeCell ref="V56:X56"/>
    <mergeCell ref="Q65:S65"/>
    <mergeCell ref="Q66:S66"/>
  </mergeCells>
  <dataValidations count="2">
    <dataValidation type="list" allowBlank="1" showInputMessage="1" showErrorMessage="1" sqref="L119 L62 L31:L32 L97:L99 L109:L112 L23 H12:H22 H35:H61 L88 H73:H87 H97:H99 Y50 Y31:Y32 Y23 U12:U22 U35:U49 Y59:Y63 U59:U62" xr:uid="{41683700-C398-4874-915D-C3ADF085D8D8}">
      <formula1>"Yes, No, N/A"</formula1>
    </dataValidation>
    <dataValidation type="list" allowBlank="1" showInputMessage="1" showErrorMessage="1" sqref="P63" xr:uid="{1291D524-A345-421C-A65E-DAC028E3147C}">
      <formula1>"2020,2021,2022,2023,2024"</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92451049-90D0-4661-A2A5-607090B92C7A}">
          <x14:formula1>
            <xm:f>'Reference Sheet'!$E$3:$E$10</xm:f>
          </x14:formula1>
          <xm:sqref>B98:B99</xm:sqref>
        </x14:dataValidation>
        <x14:dataValidation type="list" allowBlank="1" showInputMessage="1" showErrorMessage="1" xr:uid="{69846669-B3E3-4712-981E-1363A62D0F7B}">
          <x14:formula1>
            <xm:f>'Reference Sheet'!$E$2:$E$10</xm:f>
          </x14:formula1>
          <xm:sqref>B119 B73:B88 B31:B32 B35:B62 B97 B12:B23 O31:O32 O12:O23 O35:O50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07033-D1DA-4AC0-A7AF-DB5669943E5C}">
  <sheetPr>
    <tabColor theme="8" tint="0.59999389629810485"/>
  </sheetPr>
  <dimension ref="A1:Z158"/>
  <sheetViews>
    <sheetView zoomScale="90" zoomScaleNormal="90" workbookViewId="0"/>
  </sheetViews>
  <sheetFormatPr defaultRowHeight="15" x14ac:dyDescent="0.25"/>
  <cols>
    <col min="1" max="1" width="44.42578125" customWidth="1"/>
    <col min="2" max="2" width="15.28515625" customWidth="1"/>
    <col min="3" max="3" width="13.140625" customWidth="1"/>
    <col min="4" max="4" width="14.140625" customWidth="1"/>
    <col min="5" max="5" width="15.5703125" customWidth="1"/>
    <col min="6" max="7" width="15.140625" customWidth="1"/>
    <col min="8" max="8" width="13.42578125" style="1" customWidth="1"/>
    <col min="9" max="9" width="15.140625" customWidth="1"/>
    <col min="10" max="10" width="16.28515625" customWidth="1"/>
    <col min="11" max="11" width="16" customWidth="1"/>
    <col min="12" max="12" width="17.5703125" customWidth="1"/>
    <col min="13" max="13" width="14.28515625" style="7" customWidth="1"/>
    <col min="14" max="14" width="20.5703125" customWidth="1"/>
    <col min="15" max="15" width="16.85546875" customWidth="1"/>
    <col min="16" max="21" width="12.7109375" customWidth="1"/>
  </cols>
  <sheetData>
    <row r="1" spans="1:26" ht="58.5" customHeight="1" x14ac:dyDescent="0.25">
      <c r="A1" s="314" t="s">
        <v>239</v>
      </c>
      <c r="B1" s="314" t="s">
        <v>43</v>
      </c>
      <c r="C1" s="315" t="s">
        <v>111</v>
      </c>
      <c r="D1" s="316" t="s">
        <v>131</v>
      </c>
      <c r="E1" s="455" t="s">
        <v>304</v>
      </c>
      <c r="F1" s="455"/>
      <c r="G1" s="455"/>
      <c r="H1" s="455"/>
      <c r="I1" s="441"/>
      <c r="J1" s="441"/>
      <c r="K1" s="441"/>
      <c r="L1" s="441"/>
      <c r="M1" s="441"/>
      <c r="N1" s="329" t="s">
        <v>149</v>
      </c>
      <c r="O1" s="329" t="s">
        <v>43</v>
      </c>
      <c r="P1" s="330" t="s">
        <v>111</v>
      </c>
      <c r="Q1" s="167" t="s">
        <v>131</v>
      </c>
      <c r="R1" s="439" t="s">
        <v>261</v>
      </c>
      <c r="S1" s="440"/>
      <c r="T1" s="440"/>
      <c r="U1" s="440"/>
      <c r="V1" s="441"/>
      <c r="W1" s="441"/>
      <c r="X1" s="441"/>
      <c r="Y1" s="441"/>
      <c r="Z1" s="441"/>
    </row>
    <row r="2" spans="1:26" ht="15" customHeight="1" x14ac:dyDescent="0.25">
      <c r="C2" s="1"/>
      <c r="D2" s="253"/>
      <c r="E2" s="453" t="s">
        <v>1</v>
      </c>
      <c r="F2" s="454"/>
      <c r="G2" s="454"/>
      <c r="H2" s="454"/>
      <c r="I2" s="441"/>
      <c r="J2" s="441"/>
      <c r="K2" s="441"/>
      <c r="L2" s="441"/>
      <c r="M2" s="441"/>
      <c r="P2" s="1"/>
      <c r="Q2" s="253"/>
      <c r="R2" s="442" t="s">
        <v>265</v>
      </c>
      <c r="S2" s="443"/>
      <c r="T2" s="444"/>
      <c r="U2" s="445" t="s">
        <v>264</v>
      </c>
      <c r="V2" s="445"/>
      <c r="W2" s="445"/>
      <c r="X2" s="445"/>
      <c r="Y2" s="8"/>
      <c r="Z2" s="7"/>
    </row>
    <row r="3" spans="1:26" x14ac:dyDescent="0.25">
      <c r="A3" s="75" t="s">
        <v>46</v>
      </c>
      <c r="B3" s="78">
        <f>B25+B64+B90</f>
        <v>3026536.9760000007</v>
      </c>
      <c r="C3" s="207">
        <f>B3/B8</f>
        <v>0.73720129092466147</v>
      </c>
      <c r="D3" s="227">
        <f>G28+G66+G92</f>
        <v>2.5221141466666674</v>
      </c>
      <c r="E3" s="295" t="s">
        <v>240</v>
      </c>
      <c r="F3" s="296"/>
      <c r="G3" s="297"/>
      <c r="H3" s="112" t="s">
        <v>241</v>
      </c>
      <c r="I3" s="112"/>
      <c r="J3" s="112"/>
      <c r="K3" s="112"/>
      <c r="L3" s="8"/>
      <c r="N3" s="75" t="s">
        <v>151</v>
      </c>
      <c r="O3" s="78">
        <f>O25+O52</f>
        <v>301168.87200000009</v>
      </c>
      <c r="P3" s="207">
        <f>O3/O8</f>
        <v>0.32406441206592873</v>
      </c>
      <c r="Q3" s="227">
        <f>T28+T54</f>
        <v>0.25097406000000005</v>
      </c>
      <c r="R3" s="434" t="s">
        <v>262</v>
      </c>
      <c r="S3" s="435"/>
      <c r="T3" s="9">
        <v>2</v>
      </c>
      <c r="U3" s="434" t="s">
        <v>301</v>
      </c>
      <c r="V3" s="436"/>
      <c r="W3" s="435"/>
      <c r="X3" s="331">
        <v>9</v>
      </c>
      <c r="Y3" s="8"/>
      <c r="Z3" s="7"/>
    </row>
    <row r="4" spans="1:26" x14ac:dyDescent="0.25">
      <c r="A4" s="75"/>
      <c r="B4" s="75"/>
      <c r="C4" s="79"/>
      <c r="D4" s="227"/>
      <c r="E4" s="150" t="s">
        <v>222</v>
      </c>
      <c r="F4" s="294"/>
      <c r="G4" s="9">
        <v>2</v>
      </c>
      <c r="H4" s="150" t="s">
        <v>223</v>
      </c>
      <c r="I4" s="293"/>
      <c r="J4" s="294"/>
      <c r="K4" s="278" t="s">
        <v>224</v>
      </c>
      <c r="L4" s="8"/>
      <c r="N4" s="75"/>
      <c r="O4" s="75"/>
      <c r="P4" s="79"/>
      <c r="Q4" s="227"/>
      <c r="R4" s="434" t="s">
        <v>263</v>
      </c>
      <c r="S4" s="435"/>
      <c r="T4" s="9">
        <v>3</v>
      </c>
      <c r="U4" s="434"/>
      <c r="V4" s="436"/>
      <c r="W4" s="435"/>
      <c r="X4" s="61"/>
      <c r="Y4" s="8"/>
      <c r="Z4" s="7"/>
    </row>
    <row r="5" spans="1:26" x14ac:dyDescent="0.25">
      <c r="A5" s="75"/>
      <c r="B5" s="75"/>
      <c r="C5" s="75"/>
      <c r="D5" s="99"/>
      <c r="E5" s="150" t="s">
        <v>237</v>
      </c>
      <c r="F5" s="294"/>
      <c r="G5" s="9">
        <v>2</v>
      </c>
      <c r="H5" s="150" t="s">
        <v>227</v>
      </c>
      <c r="I5" s="293"/>
      <c r="J5" s="294"/>
      <c r="K5" s="61" t="s">
        <v>224</v>
      </c>
      <c r="L5" s="8"/>
      <c r="N5" s="75"/>
      <c r="O5" s="75"/>
      <c r="P5" s="75"/>
      <c r="Q5" s="99"/>
      <c r="R5" s="63"/>
      <c r="S5" s="63"/>
      <c r="T5" s="90"/>
      <c r="W5" s="280"/>
      <c r="X5" s="281"/>
      <c r="Y5" s="8"/>
      <c r="Z5" s="7"/>
    </row>
    <row r="6" spans="1:26" x14ac:dyDescent="0.25">
      <c r="A6" s="75" t="s">
        <v>112</v>
      </c>
      <c r="B6" s="78">
        <f>B102</f>
        <v>149556.00000000003</v>
      </c>
      <c r="C6" s="207">
        <f>B6/B8</f>
        <v>3.6428722708434759E-2</v>
      </c>
      <c r="D6" s="300">
        <f>G104</f>
        <v>0.12463000000000002</v>
      </c>
      <c r="E6" s="63" t="s">
        <v>238</v>
      </c>
      <c r="F6" s="63"/>
      <c r="G6" s="90">
        <v>1</v>
      </c>
      <c r="H6" t="s">
        <v>228</v>
      </c>
      <c r="J6" s="280"/>
      <c r="K6" s="281"/>
      <c r="L6" s="8"/>
      <c r="N6" s="75" t="s">
        <v>260</v>
      </c>
      <c r="O6" s="78">
        <f>O65</f>
        <v>628179.92653061217</v>
      </c>
      <c r="P6" s="207">
        <f>O6/O8</f>
        <v>0.67593558793407127</v>
      </c>
      <c r="Q6" s="227">
        <f>T67</f>
        <v>0.52348327210884349</v>
      </c>
      <c r="R6" s="63"/>
      <c r="S6" s="63"/>
      <c r="T6" s="279"/>
      <c r="U6" s="437"/>
      <c r="V6" s="437"/>
      <c r="W6" s="437"/>
      <c r="X6" s="9"/>
      <c r="Y6" s="8"/>
      <c r="Z6" s="7"/>
    </row>
    <row r="7" spans="1:26" x14ac:dyDescent="0.25">
      <c r="A7" s="364" t="s">
        <v>255</v>
      </c>
      <c r="B7" s="365">
        <f>O8</f>
        <v>929348.79853061226</v>
      </c>
      <c r="C7" s="207">
        <f>B7/B8</f>
        <v>0.22636998636690381</v>
      </c>
      <c r="D7" s="366">
        <f>Q8</f>
        <v>0.77445733210884349</v>
      </c>
      <c r="E7" s="63"/>
      <c r="F7" s="63"/>
      <c r="G7" s="90"/>
      <c r="H7" s="9" t="s">
        <v>225</v>
      </c>
      <c r="I7" s="9"/>
      <c r="J7" s="9"/>
      <c r="K7" s="9">
        <v>0.1</v>
      </c>
      <c r="L7" s="8"/>
      <c r="N7" s="254"/>
      <c r="O7" s="255"/>
      <c r="P7" s="79"/>
      <c r="Q7" s="256"/>
      <c r="R7" s="434" t="s">
        <v>229</v>
      </c>
      <c r="S7" s="435"/>
      <c r="T7" s="60">
        <v>1</v>
      </c>
      <c r="U7" s="438"/>
      <c r="V7" s="438"/>
      <c r="W7" s="438"/>
      <c r="X7" s="57"/>
      <c r="Y7" s="8"/>
      <c r="Z7" s="7"/>
    </row>
    <row r="8" spans="1:26" x14ac:dyDescent="0.25">
      <c r="A8" s="75" t="s">
        <v>42</v>
      </c>
      <c r="B8" s="78">
        <f>SUM(B3:B7)</f>
        <v>4105441.7745306129</v>
      </c>
      <c r="C8" s="79"/>
      <c r="D8" s="227">
        <f>SUM(D3:D7)</f>
        <v>3.4212014787755107</v>
      </c>
      <c r="E8" s="63" t="s">
        <v>229</v>
      </c>
      <c r="F8" s="63"/>
      <c r="G8" s="60">
        <v>1</v>
      </c>
      <c r="H8" s="59" t="s">
        <v>226</v>
      </c>
      <c r="I8" s="59"/>
      <c r="J8" s="59"/>
      <c r="K8" s="57" t="s">
        <v>197</v>
      </c>
      <c r="L8" s="8"/>
      <c r="N8" s="75" t="s">
        <v>42</v>
      </c>
      <c r="O8" s="78">
        <f>O3+O6</f>
        <v>929348.79853061226</v>
      </c>
      <c r="P8" s="79"/>
      <c r="Q8" s="227">
        <f>SUM(Q3+Q6)</f>
        <v>0.77445733210884349</v>
      </c>
      <c r="R8" s="434" t="s">
        <v>230</v>
      </c>
      <c r="S8" s="435"/>
      <c r="T8" s="60">
        <v>0.1</v>
      </c>
      <c r="U8" s="8"/>
      <c r="V8" s="49"/>
      <c r="W8" s="8"/>
      <c r="X8" s="8"/>
      <c r="Y8" s="8"/>
      <c r="Z8" s="7"/>
    </row>
    <row r="9" spans="1:26" x14ac:dyDescent="0.25">
      <c r="A9" s="1"/>
      <c r="C9" s="304">
        <f>SUM(C3:C7)</f>
        <v>1</v>
      </c>
      <c r="E9" s="63" t="s">
        <v>230</v>
      </c>
      <c r="F9" s="63"/>
      <c r="G9" s="60">
        <v>0.1</v>
      </c>
      <c r="H9" s="8"/>
      <c r="I9" s="49"/>
      <c r="J9" s="8"/>
      <c r="K9" s="8"/>
      <c r="L9" s="8"/>
      <c r="N9" s="333"/>
      <c r="O9" s="334"/>
      <c r="P9" s="335"/>
      <c r="Q9" s="336"/>
      <c r="R9" s="337"/>
      <c r="S9" s="337"/>
      <c r="T9" s="338"/>
      <c r="U9" s="339"/>
      <c r="V9" s="333"/>
      <c r="W9" s="339"/>
      <c r="X9" s="339"/>
      <c r="Y9" s="339"/>
      <c r="Z9" s="339"/>
    </row>
    <row r="10" spans="1:26" ht="15.75" x14ac:dyDescent="0.25">
      <c r="A10" s="317" t="s">
        <v>1</v>
      </c>
      <c r="F10" s="10" t="s">
        <v>40</v>
      </c>
      <c r="G10" s="348">
        <f>$G$4</f>
        <v>2</v>
      </c>
      <c r="H10" s="1" t="s">
        <v>1</v>
      </c>
      <c r="N10" s="329" t="s">
        <v>310</v>
      </c>
      <c r="O10" s="10" t="s">
        <v>217</v>
      </c>
      <c r="P10" s="277">
        <v>1</v>
      </c>
      <c r="T10" s="10" t="s">
        <v>40</v>
      </c>
      <c r="U10" s="329">
        <f>T3</f>
        <v>2</v>
      </c>
    </row>
    <row r="11" spans="1:26" ht="66.75" customHeight="1" x14ac:dyDescent="0.25">
      <c r="A11" s="142" t="s">
        <v>208</v>
      </c>
      <c r="B11" s="144" t="s">
        <v>0</v>
      </c>
      <c r="C11" s="143" t="s">
        <v>146</v>
      </c>
      <c r="D11" s="143" t="s">
        <v>25</v>
      </c>
      <c r="E11" s="143" t="s">
        <v>20</v>
      </c>
      <c r="F11" s="143" t="s">
        <v>21</v>
      </c>
      <c r="G11" s="143" t="s">
        <v>105</v>
      </c>
      <c r="H11" s="143" t="s">
        <v>17</v>
      </c>
      <c r="N11" s="142" t="s">
        <v>208</v>
      </c>
      <c r="O11" s="144" t="s">
        <v>0</v>
      </c>
      <c r="P11" s="143" t="s">
        <v>146</v>
      </c>
      <c r="Q11" s="143" t="s">
        <v>25</v>
      </c>
      <c r="R11" s="143" t="s">
        <v>20</v>
      </c>
      <c r="S11" s="143" t="s">
        <v>21</v>
      </c>
      <c r="T11" s="143" t="s">
        <v>105</v>
      </c>
      <c r="U11" s="143" t="s">
        <v>17</v>
      </c>
      <c r="Z11" s="8"/>
    </row>
    <row r="12" spans="1:26" s="8" customFormat="1" x14ac:dyDescent="0.25">
      <c r="A12" s="50" t="s">
        <v>28</v>
      </c>
      <c r="B12" s="9"/>
      <c r="C12" s="119"/>
      <c r="D12" s="58">
        <f>$G$10</f>
        <v>2</v>
      </c>
      <c r="E12" s="58">
        <v>20</v>
      </c>
      <c r="F12" s="65">
        <f>D12*E12</f>
        <v>40</v>
      </c>
      <c r="G12" s="110"/>
      <c r="H12" s="61" t="s">
        <v>18</v>
      </c>
      <c r="M12" s="7"/>
      <c r="N12" s="50" t="s">
        <v>28</v>
      </c>
      <c r="O12" s="9"/>
      <c r="P12" s="119"/>
      <c r="Q12" s="58"/>
      <c r="R12" s="58">
        <v>20</v>
      </c>
      <c r="S12" s="65">
        <f>Q12*R12</f>
        <v>0</v>
      </c>
      <c r="T12" s="110"/>
      <c r="U12" s="61" t="s">
        <v>18</v>
      </c>
    </row>
    <row r="13" spans="1:26" s="8" customFormat="1" x14ac:dyDescent="0.25">
      <c r="A13" s="50" t="s">
        <v>78</v>
      </c>
      <c r="B13" s="9"/>
      <c r="C13" s="185"/>
      <c r="D13" s="58">
        <f>$G$10</f>
        <v>2</v>
      </c>
      <c r="E13" s="58">
        <v>400</v>
      </c>
      <c r="F13" s="65">
        <f>D13*E13</f>
        <v>800</v>
      </c>
      <c r="G13" s="110"/>
      <c r="H13" s="61" t="s">
        <v>18</v>
      </c>
      <c r="M13" s="7"/>
      <c r="N13" s="50" t="s">
        <v>78</v>
      </c>
      <c r="O13" s="9"/>
      <c r="P13" s="185"/>
      <c r="Q13" s="58"/>
      <c r="R13" s="58">
        <v>100</v>
      </c>
      <c r="S13" s="65">
        <f>Q13*R13</f>
        <v>0</v>
      </c>
      <c r="T13" s="110"/>
      <c r="U13" s="61" t="s">
        <v>18</v>
      </c>
    </row>
    <row r="14" spans="1:26" s="8" customFormat="1" x14ac:dyDescent="0.25">
      <c r="A14" s="50" t="s">
        <v>26</v>
      </c>
      <c r="B14" s="9" t="s">
        <v>3</v>
      </c>
      <c r="C14" s="219">
        <f>'Prices_non-Labor'!$G$12</f>
        <v>1.4520000000000002</v>
      </c>
      <c r="D14" s="58">
        <v>1</v>
      </c>
      <c r="E14" s="58">
        <f>SUM(E12:E13)*D14</f>
        <v>420</v>
      </c>
      <c r="F14" s="62">
        <f>E14</f>
        <v>420</v>
      </c>
      <c r="G14" s="189">
        <f>F14*C14</f>
        <v>609.84</v>
      </c>
      <c r="H14" s="61" t="s">
        <v>16</v>
      </c>
      <c r="M14" s="7"/>
      <c r="N14" s="50" t="s">
        <v>26</v>
      </c>
      <c r="O14" s="9" t="s">
        <v>3</v>
      </c>
      <c r="P14" s="185">
        <f>'Prices_non-Labor'!$G$12</f>
        <v>1.4520000000000002</v>
      </c>
      <c r="Q14" s="58">
        <v>1</v>
      </c>
      <c r="R14" s="58">
        <f>SUM(R12:R13)*Q14</f>
        <v>120</v>
      </c>
      <c r="S14" s="62">
        <f>R14</f>
        <v>120</v>
      </c>
      <c r="T14" s="189">
        <f t="shared" ref="T14:T22" si="0">S14*P14</f>
        <v>174.24</v>
      </c>
      <c r="U14" s="61" t="s">
        <v>16</v>
      </c>
    </row>
    <row r="15" spans="1:26" s="8" customFormat="1" x14ac:dyDescent="0.25">
      <c r="A15" s="50" t="s">
        <v>79</v>
      </c>
      <c r="B15" s="9" t="s">
        <v>3</v>
      </c>
      <c r="C15" s="219">
        <f>'Prices_non-Labor'!$G$13</f>
        <v>1.2100000000000002</v>
      </c>
      <c r="D15" s="58">
        <v>0.2</v>
      </c>
      <c r="E15" s="58">
        <v>420</v>
      </c>
      <c r="F15" s="62">
        <f>E15*D15</f>
        <v>84</v>
      </c>
      <c r="G15" s="189">
        <f t="shared" ref="G15:G22" si="1">F15*C15</f>
        <v>101.64000000000001</v>
      </c>
      <c r="H15" s="61" t="s">
        <v>16</v>
      </c>
      <c r="M15" s="7"/>
      <c r="N15" s="50" t="s">
        <v>79</v>
      </c>
      <c r="O15" s="9" t="s">
        <v>3</v>
      </c>
      <c r="P15" s="185">
        <f>'Prices_non-Labor'!$G$13</f>
        <v>1.2100000000000002</v>
      </c>
      <c r="Q15" s="58">
        <v>0.2</v>
      </c>
      <c r="R15" s="58">
        <f>SUM(R12:R13)</f>
        <v>120</v>
      </c>
      <c r="S15" s="62">
        <f>R15*Q15</f>
        <v>24</v>
      </c>
      <c r="T15" s="189">
        <f t="shared" si="0"/>
        <v>29.040000000000006</v>
      </c>
      <c r="U15" s="61" t="s">
        <v>16</v>
      </c>
    </row>
    <row r="16" spans="1:26" x14ac:dyDescent="0.25">
      <c r="A16" s="50" t="s">
        <v>29</v>
      </c>
      <c r="B16" s="9" t="s">
        <v>3</v>
      </c>
      <c r="C16" s="219">
        <f>'Prices_non-Labor'!$G$11</f>
        <v>1.2100000000000002</v>
      </c>
      <c r="D16" s="61">
        <v>1</v>
      </c>
      <c r="E16" s="57">
        <f>$E$12</f>
        <v>20</v>
      </c>
      <c r="F16" s="9">
        <f t="shared" ref="F16:F22" si="2">SUM(E16*D16)</f>
        <v>20</v>
      </c>
      <c r="G16" s="189">
        <f t="shared" si="1"/>
        <v>24.200000000000003</v>
      </c>
      <c r="H16" s="61" t="s">
        <v>16</v>
      </c>
      <c r="N16" s="50" t="s">
        <v>289</v>
      </c>
      <c r="O16" s="9" t="s">
        <v>3</v>
      </c>
      <c r="P16" s="185">
        <f>'Prices_non-Labor'!$G$11</f>
        <v>1.2100000000000002</v>
      </c>
      <c r="Q16" s="61">
        <v>1</v>
      </c>
      <c r="R16" s="57">
        <f>$E$12</f>
        <v>20</v>
      </c>
      <c r="S16" s="9">
        <f t="shared" ref="S16:S21" si="3">SUM(R16*Q16)</f>
        <v>20</v>
      </c>
      <c r="T16" s="189">
        <f t="shared" si="0"/>
        <v>24.200000000000003</v>
      </c>
      <c r="U16" s="61" t="s">
        <v>16</v>
      </c>
      <c r="Z16" s="8"/>
    </row>
    <row r="17" spans="1:26" x14ac:dyDescent="0.25">
      <c r="A17" s="50" t="s">
        <v>83</v>
      </c>
      <c r="B17" s="9" t="s">
        <v>3</v>
      </c>
      <c r="C17" s="219">
        <f>'Prices_non-Labor'!$G$11</f>
        <v>1.2100000000000002</v>
      </c>
      <c r="D17" s="61">
        <v>1</v>
      </c>
      <c r="E17" s="57">
        <f>$E$13</f>
        <v>400</v>
      </c>
      <c r="F17" s="9">
        <f t="shared" si="2"/>
        <v>400</v>
      </c>
      <c r="G17" s="189">
        <f t="shared" si="1"/>
        <v>484.00000000000006</v>
      </c>
      <c r="H17" s="61" t="s">
        <v>16</v>
      </c>
      <c r="I17" s="205"/>
      <c r="N17" s="50" t="s">
        <v>290</v>
      </c>
      <c r="O17" s="9" t="s">
        <v>3</v>
      </c>
      <c r="P17" s="185">
        <f>'Prices_non-Labor'!$G$11</f>
        <v>1.2100000000000002</v>
      </c>
      <c r="Q17" s="61">
        <v>1</v>
      </c>
      <c r="R17" s="57">
        <f>$E$13</f>
        <v>400</v>
      </c>
      <c r="S17" s="9">
        <f t="shared" si="3"/>
        <v>400</v>
      </c>
      <c r="T17" s="189">
        <f t="shared" si="0"/>
        <v>484.00000000000006</v>
      </c>
      <c r="U17" s="61" t="s">
        <v>16</v>
      </c>
      <c r="V17" s="205"/>
      <c r="Z17" s="8"/>
    </row>
    <row r="18" spans="1:26" x14ac:dyDescent="0.25">
      <c r="A18" s="50" t="s">
        <v>28</v>
      </c>
      <c r="B18" s="9" t="s">
        <v>41</v>
      </c>
      <c r="C18" s="185">
        <f>'Prices_non-Labor'!$G$36</f>
        <v>36.070600000000006</v>
      </c>
      <c r="D18" s="61">
        <v>1</v>
      </c>
      <c r="E18" s="57">
        <f>$E$12</f>
        <v>20</v>
      </c>
      <c r="F18" s="9">
        <f t="shared" si="2"/>
        <v>20</v>
      </c>
      <c r="G18" s="189">
        <f t="shared" si="1"/>
        <v>721.41200000000015</v>
      </c>
      <c r="H18" s="61" t="s">
        <v>16</v>
      </c>
      <c r="N18" s="50" t="s">
        <v>28</v>
      </c>
      <c r="O18" s="9" t="s">
        <v>41</v>
      </c>
      <c r="P18" s="185">
        <f>'Prices_non-Labor'!$G$36</f>
        <v>36.070600000000006</v>
      </c>
      <c r="Q18" s="61">
        <v>1</v>
      </c>
      <c r="R18" s="57">
        <f>$E$12</f>
        <v>20</v>
      </c>
      <c r="S18" s="9">
        <f t="shared" si="3"/>
        <v>20</v>
      </c>
      <c r="T18" s="189">
        <f t="shared" si="0"/>
        <v>721.41200000000015</v>
      </c>
      <c r="U18" s="61" t="s">
        <v>16</v>
      </c>
      <c r="Z18" s="8"/>
    </row>
    <row r="19" spans="1:26" x14ac:dyDescent="0.25">
      <c r="A19" s="50" t="s">
        <v>78</v>
      </c>
      <c r="B19" s="9" t="s">
        <v>41</v>
      </c>
      <c r="C19" s="185">
        <f>'Prices_non-Labor'!$G$36</f>
        <v>36.070600000000006</v>
      </c>
      <c r="D19" s="61">
        <v>1</v>
      </c>
      <c r="E19" s="57">
        <f>$E$13</f>
        <v>400</v>
      </c>
      <c r="F19" s="9">
        <f t="shared" si="2"/>
        <v>400</v>
      </c>
      <c r="G19" s="189">
        <f t="shared" si="1"/>
        <v>14428.240000000002</v>
      </c>
      <c r="H19" s="61" t="s">
        <v>16</v>
      </c>
      <c r="I19" s="205"/>
      <c r="N19" s="50" t="s">
        <v>78</v>
      </c>
      <c r="O19" s="9" t="s">
        <v>41</v>
      </c>
      <c r="P19" s="185">
        <f>'Prices_non-Labor'!$G$36</f>
        <v>36.070600000000006</v>
      </c>
      <c r="Q19" s="61">
        <v>1</v>
      </c>
      <c r="R19" s="57">
        <f>$E$13</f>
        <v>400</v>
      </c>
      <c r="S19" s="9">
        <f t="shared" si="3"/>
        <v>400</v>
      </c>
      <c r="T19" s="189">
        <f t="shared" si="0"/>
        <v>14428.240000000002</v>
      </c>
      <c r="U19" s="61" t="s">
        <v>16</v>
      </c>
      <c r="V19" s="205"/>
      <c r="Z19" s="8"/>
    </row>
    <row r="20" spans="1:26" x14ac:dyDescent="0.25">
      <c r="A20" s="50" t="s">
        <v>28</v>
      </c>
      <c r="B20" s="9" t="s">
        <v>109</v>
      </c>
      <c r="C20" s="185">
        <f>'Prices_non-Labor'!$G$35</f>
        <v>25.461600000000001</v>
      </c>
      <c r="D20" s="58">
        <f>$G$10</f>
        <v>2</v>
      </c>
      <c r="E20" s="57">
        <f>$E$12</f>
        <v>20</v>
      </c>
      <c r="F20" s="9">
        <f t="shared" si="2"/>
        <v>40</v>
      </c>
      <c r="G20" s="189">
        <f t="shared" si="1"/>
        <v>1018.4640000000001</v>
      </c>
      <c r="H20" s="61" t="s">
        <v>16</v>
      </c>
      <c r="N20" s="50" t="s">
        <v>28</v>
      </c>
      <c r="O20" s="9" t="s">
        <v>109</v>
      </c>
      <c r="P20" s="185">
        <f>'Prices_non-Labor'!$G$35</f>
        <v>25.461600000000001</v>
      </c>
      <c r="Q20" s="61">
        <f>U10</f>
        <v>2</v>
      </c>
      <c r="R20" s="57">
        <f>$E$12</f>
        <v>20</v>
      </c>
      <c r="S20" s="9">
        <f t="shared" si="3"/>
        <v>40</v>
      </c>
      <c r="T20" s="189">
        <f t="shared" si="0"/>
        <v>1018.4640000000001</v>
      </c>
      <c r="U20" s="61" t="s">
        <v>16</v>
      </c>
      <c r="Z20" s="8"/>
    </row>
    <row r="21" spans="1:26" x14ac:dyDescent="0.25">
      <c r="A21" s="50" t="s">
        <v>78</v>
      </c>
      <c r="B21" s="9" t="s">
        <v>109</v>
      </c>
      <c r="C21" s="185">
        <f>'Prices_non-Labor'!$G$35</f>
        <v>25.461600000000001</v>
      </c>
      <c r="D21" s="58">
        <f>$G$10</f>
        <v>2</v>
      </c>
      <c r="E21" s="57">
        <f>$E$13</f>
        <v>400</v>
      </c>
      <c r="F21" s="9">
        <f t="shared" si="2"/>
        <v>800</v>
      </c>
      <c r="G21" s="189">
        <f t="shared" si="1"/>
        <v>20369.28</v>
      </c>
      <c r="H21" s="61" t="s">
        <v>16</v>
      </c>
      <c r="N21" s="50" t="s">
        <v>78</v>
      </c>
      <c r="O21" s="9" t="s">
        <v>109</v>
      </c>
      <c r="P21" s="185">
        <f>'Prices_non-Labor'!$G$35</f>
        <v>25.461600000000001</v>
      </c>
      <c r="Q21" s="61">
        <f>U10</f>
        <v>2</v>
      </c>
      <c r="R21" s="57">
        <f>$E$13</f>
        <v>400</v>
      </c>
      <c r="S21" s="9">
        <f t="shared" si="3"/>
        <v>800</v>
      </c>
      <c r="T21" s="189">
        <f t="shared" si="0"/>
        <v>20369.28</v>
      </c>
      <c r="U21" s="61" t="s">
        <v>16</v>
      </c>
      <c r="Z21" s="8"/>
    </row>
    <row r="22" spans="1:26" x14ac:dyDescent="0.25">
      <c r="A22" s="50" t="s">
        <v>39</v>
      </c>
      <c r="B22" s="9" t="s">
        <v>15</v>
      </c>
      <c r="C22" s="185">
        <f>'Prices_non-Labor'!$G$24</f>
        <v>133.10000000000005</v>
      </c>
      <c r="D22" s="58">
        <f>$G$10</f>
        <v>2</v>
      </c>
      <c r="E22" s="57">
        <f>$E$12</f>
        <v>20</v>
      </c>
      <c r="F22" s="9">
        <f t="shared" si="2"/>
        <v>40</v>
      </c>
      <c r="G22" s="189">
        <f t="shared" si="1"/>
        <v>5324.0000000000018</v>
      </c>
      <c r="H22" s="61" t="s">
        <v>16</v>
      </c>
      <c r="N22" s="50" t="s">
        <v>39</v>
      </c>
      <c r="O22" s="9" t="s">
        <v>15</v>
      </c>
      <c r="P22" s="185">
        <f>'Prices_non-Labor'!$G$24</f>
        <v>133.10000000000005</v>
      </c>
      <c r="Q22" s="61">
        <f>U10</f>
        <v>2</v>
      </c>
      <c r="R22" s="57">
        <f>$E$12</f>
        <v>20</v>
      </c>
      <c r="S22" s="9">
        <f>R22*U10</f>
        <v>40</v>
      </c>
      <c r="T22" s="189">
        <f t="shared" si="0"/>
        <v>5324.0000000000018</v>
      </c>
      <c r="U22" s="61" t="s">
        <v>16</v>
      </c>
      <c r="Z22" s="8"/>
    </row>
    <row r="23" spans="1:26" x14ac:dyDescent="0.25">
      <c r="A23" s="168"/>
      <c r="D23" s="8"/>
      <c r="E23" s="149"/>
      <c r="F23" s="174"/>
      <c r="G23" s="64"/>
      <c r="H23" s="64"/>
      <c r="K23" s="72"/>
      <c r="L23" s="64"/>
      <c r="N23" s="168"/>
      <c r="Q23" s="8"/>
      <c r="R23" s="149"/>
      <c r="S23" s="174"/>
      <c r="T23" s="64"/>
      <c r="U23" s="64"/>
      <c r="X23" s="72"/>
      <c r="Y23" s="64"/>
      <c r="Z23" s="8"/>
    </row>
    <row r="24" spans="1:26" ht="15" customHeight="1" x14ac:dyDescent="0.25">
      <c r="A24" s="175" t="s">
        <v>1</v>
      </c>
      <c r="B24" s="176" t="s">
        <v>32</v>
      </c>
      <c r="C24" s="176"/>
      <c r="D24" s="175" t="s">
        <v>69</v>
      </c>
      <c r="E24" s="175"/>
      <c r="F24" s="175"/>
      <c r="G24" s="176" t="s">
        <v>32</v>
      </c>
      <c r="H24" s="175" t="s">
        <v>70</v>
      </c>
      <c r="I24" s="175"/>
      <c r="J24" s="175"/>
      <c r="K24" s="176" t="s">
        <v>32</v>
      </c>
      <c r="L24" s="177" t="s">
        <v>45</v>
      </c>
      <c r="N24" s="175" t="s">
        <v>276</v>
      </c>
      <c r="O24" s="176" t="s">
        <v>32</v>
      </c>
      <c r="P24" s="176"/>
      <c r="Q24" s="175" t="s">
        <v>277</v>
      </c>
      <c r="R24" s="175"/>
      <c r="S24" s="175"/>
      <c r="T24" s="176" t="s">
        <v>32</v>
      </c>
      <c r="U24" s="175" t="s">
        <v>282</v>
      </c>
      <c r="V24" s="175"/>
      <c r="W24" s="175"/>
      <c r="X24" s="176" t="s">
        <v>32</v>
      </c>
      <c r="Y24" s="332" t="s">
        <v>45</v>
      </c>
      <c r="Z24" s="8"/>
    </row>
    <row r="25" spans="1:26" x14ac:dyDescent="0.25">
      <c r="A25" s="59" t="s">
        <v>71</v>
      </c>
      <c r="B25" s="186">
        <f>SUM(G14:G22)</f>
        <v>43081.076000000001</v>
      </c>
      <c r="C25" s="85"/>
      <c r="D25" s="50" t="s">
        <v>55</v>
      </c>
      <c r="E25" s="59"/>
      <c r="F25" s="50"/>
      <c r="G25" s="191">
        <f>B25/'Demographic Data'!$B$2</f>
        <v>430.81076000000002</v>
      </c>
      <c r="H25" s="115" t="s">
        <v>57</v>
      </c>
      <c r="I25" s="116"/>
      <c r="J25" s="117"/>
      <c r="K25" s="71">
        <f>SUMIFS($G$12:$G$22, $B$12:$B$22, "Materials", $H$12:$H$22, "Yes")</f>
        <v>1219.68</v>
      </c>
      <c r="L25" s="97">
        <f>K25/$B$25</f>
        <v>2.831127059129164E-2</v>
      </c>
      <c r="N25" s="59" t="s">
        <v>291</v>
      </c>
      <c r="O25" s="186">
        <f>SUM(T14:T22)</f>
        <v>42572.876000000004</v>
      </c>
      <c r="P25" s="85"/>
      <c r="Q25" s="50" t="s">
        <v>278</v>
      </c>
      <c r="R25" s="59"/>
      <c r="S25" s="50"/>
      <c r="T25" s="191">
        <f>O25/'Demographic Data'!$B$2</f>
        <v>425.72876000000002</v>
      </c>
      <c r="U25" s="115" t="s">
        <v>283</v>
      </c>
      <c r="V25" s="116"/>
      <c r="W25" s="117"/>
      <c r="X25" s="71">
        <f>SUMIFS($T$12:$T$22, $O$12:$O$22, "Materials", $U$12:$U$22, "Yes")</f>
        <v>711.48</v>
      </c>
      <c r="Y25" s="97">
        <f>X25/$O$25</f>
        <v>1.671204923999027E-2</v>
      </c>
      <c r="Z25" s="8"/>
    </row>
    <row r="26" spans="1:26" x14ac:dyDescent="0.25">
      <c r="A26" s="59"/>
      <c r="B26" s="65"/>
      <c r="C26" s="65"/>
      <c r="D26" s="50" t="s">
        <v>56</v>
      </c>
      <c r="E26" s="59"/>
      <c r="F26" s="50"/>
      <c r="G26" s="192">
        <f>B25/'Demographic Data'!$B$3</f>
        <v>4.3081076000000005</v>
      </c>
      <c r="H26" s="115" t="s">
        <v>59</v>
      </c>
      <c r="I26" s="116"/>
      <c r="J26" s="117"/>
      <c r="K26" s="71">
        <f>SUMIFS($G$12:$G$22, $B$12:$B$22, "Transportation", $H$12:$H$22, "Yes")</f>
        <v>15149.652000000002</v>
      </c>
      <c r="L26" s="97">
        <f>K26/$B$25</f>
        <v>0.35165444799939538</v>
      </c>
      <c r="N26" s="59"/>
      <c r="O26" s="65"/>
      <c r="P26" s="65"/>
      <c r="Q26" s="50" t="s">
        <v>279</v>
      </c>
      <c r="R26" s="59"/>
      <c r="S26" s="50"/>
      <c r="T26" s="192">
        <f>O25/'Demographic Data'!$B$3</f>
        <v>4.2572876000000006</v>
      </c>
      <c r="U26" s="115" t="s">
        <v>284</v>
      </c>
      <c r="V26" s="116"/>
      <c r="W26" s="117"/>
      <c r="X26" s="71">
        <f>SUMIFS($T$12:$T$22, $O$12:$O$22, "Transportation", $U$12:$U$22, "Yes")</f>
        <v>15149.652000000002</v>
      </c>
      <c r="Y26" s="97">
        <f>X26/$O$25</f>
        <v>0.35585220974970072</v>
      </c>
      <c r="Z26" s="8"/>
    </row>
    <row r="27" spans="1:26" x14ac:dyDescent="0.25">
      <c r="A27" s="59"/>
      <c r="B27" s="74"/>
      <c r="C27" s="82"/>
      <c r="D27" s="50" t="s">
        <v>58</v>
      </c>
      <c r="E27" s="59"/>
      <c r="F27" s="50"/>
      <c r="G27" s="192">
        <f>B25/'Demographic Data'!$B$4</f>
        <v>1.4360358666666666</v>
      </c>
      <c r="H27" s="115" t="s">
        <v>110</v>
      </c>
      <c r="I27" s="116"/>
      <c r="J27" s="117"/>
      <c r="K27" s="71">
        <f>SUMIFS($G$12:$G$22, $B$12:$B$22, "Meals/Per Diem", $H$12:$H$22, "Yes")</f>
        <v>21387.743999999999</v>
      </c>
      <c r="L27" s="97">
        <f>K27/$B$25</f>
        <v>0.49645333835208755</v>
      </c>
      <c r="N27" s="59"/>
      <c r="O27" s="74"/>
      <c r="P27" s="82"/>
      <c r="Q27" s="50" t="s">
        <v>280</v>
      </c>
      <c r="R27" s="59"/>
      <c r="S27" s="50"/>
      <c r="T27" s="192">
        <f>O25/'Demographic Data'!$B$4</f>
        <v>1.4190958666666669</v>
      </c>
      <c r="U27" s="115" t="s">
        <v>285</v>
      </c>
      <c r="V27" s="116"/>
      <c r="W27" s="117"/>
      <c r="X27" s="71">
        <f>SUMIFS($T$12:$T$22, $O$12:$O$22, "Meals/Per Diem", $U$12:$U$22, "Yes")</f>
        <v>21387.743999999999</v>
      </c>
      <c r="Y27" s="97">
        <f>X27/$O$25</f>
        <v>0.50237959023487155</v>
      </c>
      <c r="Z27" s="8"/>
    </row>
    <row r="28" spans="1:26" x14ac:dyDescent="0.25">
      <c r="A28" s="8"/>
      <c r="B28" s="8"/>
      <c r="C28" s="8"/>
      <c r="D28" s="50" t="s">
        <v>60</v>
      </c>
      <c r="E28" s="59"/>
      <c r="F28" s="75"/>
      <c r="G28" s="134">
        <f>B25/'Demographic Data'!$B$5</f>
        <v>3.5900896666666668E-2</v>
      </c>
      <c r="H28" s="433" t="s">
        <v>61</v>
      </c>
      <c r="I28" s="433"/>
      <c r="J28" s="433"/>
      <c r="K28" s="71">
        <f>SUMIFS($G$12:$G$22, $B$12:$B$22, "Facilities", $H$12:$H$22, "Yes")</f>
        <v>5324.0000000000018</v>
      </c>
      <c r="L28" s="97">
        <f>K28/$B$25</f>
        <v>0.12358094305722545</v>
      </c>
      <c r="N28" s="8"/>
      <c r="O28" s="8"/>
      <c r="P28" s="8"/>
      <c r="Q28" s="50" t="s">
        <v>281</v>
      </c>
      <c r="R28" s="59"/>
      <c r="S28" s="75"/>
      <c r="T28" s="134">
        <f>O25/'Demographic Data'!$B$5</f>
        <v>3.5477396666666668E-2</v>
      </c>
      <c r="U28" s="433" t="s">
        <v>286</v>
      </c>
      <c r="V28" s="433"/>
      <c r="W28" s="433"/>
      <c r="X28" s="71">
        <f>SUMIFS($T$12:$T$22, $O$12:$O$22, "Facilities", $U$12:$U$22, "Yes")</f>
        <v>5324.0000000000018</v>
      </c>
      <c r="Y28" s="97">
        <f>X28/$O$25</f>
        <v>0.12505615077543741</v>
      </c>
      <c r="Z28" s="8"/>
    </row>
    <row r="29" spans="1:26" x14ac:dyDescent="0.25">
      <c r="A29" s="8"/>
      <c r="B29" s="8"/>
      <c r="C29" s="8"/>
      <c r="D29" s="168"/>
      <c r="E29" s="8"/>
      <c r="F29" s="49"/>
      <c r="G29" s="73"/>
      <c r="H29" s="182"/>
      <c r="I29" s="432"/>
      <c r="J29" s="432"/>
      <c r="K29" s="432"/>
      <c r="L29" s="299">
        <f>SUM(L25:L28)</f>
        <v>1</v>
      </c>
      <c r="M29" s="282"/>
      <c r="N29" s="8"/>
      <c r="O29" s="8"/>
      <c r="P29" s="8"/>
      <c r="Q29" s="168"/>
      <c r="R29" s="8"/>
      <c r="S29" s="49"/>
      <c r="T29" s="73"/>
      <c r="U29" s="182"/>
      <c r="V29" s="432"/>
      <c r="W29" s="432"/>
      <c r="X29" s="432"/>
      <c r="Y29" s="67">
        <f>SUM(Y25:Y28)</f>
        <v>0.99999999999999989</v>
      </c>
      <c r="Z29" s="8"/>
    </row>
    <row r="30" spans="1:26" x14ac:dyDescent="0.25">
      <c r="D30" s="168"/>
      <c r="E30" s="8"/>
      <c r="F30" s="49"/>
      <c r="G30" s="73"/>
      <c r="H30" s="8"/>
      <c r="I30" s="8"/>
      <c r="J30" s="8"/>
      <c r="K30" s="8"/>
      <c r="L30" s="67" t="s">
        <v>1</v>
      </c>
      <c r="M30" s="282"/>
      <c r="Q30" s="168"/>
      <c r="R30" s="8"/>
      <c r="S30" s="49"/>
      <c r="T30" s="73"/>
      <c r="U30" s="8"/>
      <c r="V30" s="8"/>
      <c r="W30" s="8"/>
      <c r="X30" s="8"/>
      <c r="Y30" s="67"/>
      <c r="Z30" s="8"/>
    </row>
    <row r="31" spans="1:26" x14ac:dyDescent="0.25">
      <c r="A31" s="8"/>
      <c r="B31" s="8"/>
      <c r="C31" s="8"/>
      <c r="D31" s="183"/>
      <c r="E31" s="70"/>
      <c r="F31" s="184"/>
      <c r="G31" s="8"/>
      <c r="H31" s="70"/>
      <c r="I31" s="70"/>
      <c r="J31" s="70"/>
      <c r="K31" s="145"/>
      <c r="L31" s="103"/>
      <c r="M31" s="283"/>
      <c r="N31" s="8"/>
      <c r="O31" s="8"/>
      <c r="P31" s="8"/>
      <c r="Q31" s="183"/>
      <c r="R31" s="70"/>
      <c r="S31" s="184"/>
      <c r="T31" s="8"/>
      <c r="U31" s="70"/>
      <c r="V31" s="70"/>
      <c r="W31" s="70"/>
      <c r="X31" s="145"/>
      <c r="Y31" s="103"/>
    </row>
    <row r="32" spans="1:26" x14ac:dyDescent="0.25">
      <c r="A32" s="8"/>
      <c r="B32" s="8"/>
      <c r="C32" s="8"/>
      <c r="D32" s="8"/>
      <c r="E32" s="70"/>
      <c r="F32" s="184"/>
      <c r="G32" s="8"/>
      <c r="H32" s="70"/>
      <c r="I32" s="70"/>
      <c r="J32" s="70"/>
      <c r="K32" s="145"/>
      <c r="L32" s="103"/>
      <c r="M32" s="283"/>
      <c r="N32" s="8"/>
      <c r="O32" s="8"/>
      <c r="P32" s="8"/>
      <c r="Q32" s="8"/>
      <c r="R32" s="70"/>
      <c r="S32" s="184"/>
      <c r="T32" s="8"/>
      <c r="U32" s="70"/>
      <c r="V32" s="70"/>
      <c r="W32" s="70"/>
      <c r="X32" s="145"/>
      <c r="Y32" s="103"/>
    </row>
    <row r="33" spans="1:25" x14ac:dyDescent="0.25">
      <c r="A33" s="314" t="s">
        <v>243</v>
      </c>
      <c r="B33" s="10" t="s">
        <v>217</v>
      </c>
      <c r="C33" s="10">
        <v>0.1</v>
      </c>
      <c r="D33" s="10" t="s">
        <v>218</v>
      </c>
      <c r="E33" s="277">
        <v>0.9</v>
      </c>
      <c r="F33" s="10" t="s">
        <v>74</v>
      </c>
      <c r="G33" s="373">
        <f>$G$5</f>
        <v>2</v>
      </c>
      <c r="H33" s="8"/>
      <c r="I33" s="8"/>
      <c r="J33" s="8"/>
      <c r="K33" s="8"/>
      <c r="L33" s="67"/>
      <c r="M33" s="283"/>
      <c r="N33" s="329" t="s">
        <v>311</v>
      </c>
      <c r="O33" s="10" t="s">
        <v>217</v>
      </c>
      <c r="P33" s="277">
        <v>0.1</v>
      </c>
      <c r="Q33" s="10" t="s">
        <v>218</v>
      </c>
      <c r="R33" s="277">
        <v>0.9</v>
      </c>
      <c r="S33" s="10" t="s">
        <v>74</v>
      </c>
      <c r="T33" s="329">
        <f>T4</f>
        <v>3</v>
      </c>
      <c r="U33" s="8"/>
      <c r="V33" s="8"/>
      <c r="W33" s="8"/>
      <c r="X33" s="8"/>
      <c r="Y33" s="67"/>
    </row>
    <row r="34" spans="1:25" ht="30" x14ac:dyDescent="0.25">
      <c r="A34" s="142" t="s">
        <v>1</v>
      </c>
      <c r="B34" s="144" t="s">
        <v>0</v>
      </c>
      <c r="C34" s="143" t="s">
        <v>146</v>
      </c>
      <c r="D34" s="143" t="s">
        <v>25</v>
      </c>
      <c r="E34" s="143" t="s">
        <v>20</v>
      </c>
      <c r="F34" s="143" t="s">
        <v>21</v>
      </c>
      <c r="G34" s="143" t="s">
        <v>114</v>
      </c>
      <c r="H34" s="143" t="s">
        <v>17</v>
      </c>
      <c r="I34" s="41"/>
      <c r="J34" s="48"/>
      <c r="N34" s="142" t="s">
        <v>1</v>
      </c>
      <c r="O34" s="144" t="s">
        <v>0</v>
      </c>
      <c r="P34" s="143" t="s">
        <v>146</v>
      </c>
      <c r="Q34" s="143" t="s">
        <v>25</v>
      </c>
      <c r="R34" s="143" t="s">
        <v>20</v>
      </c>
      <c r="S34" s="143" t="s">
        <v>21</v>
      </c>
      <c r="T34" s="143" t="s">
        <v>114</v>
      </c>
      <c r="U34" s="143" t="s">
        <v>17</v>
      </c>
      <c r="V34" s="41"/>
      <c r="W34" s="48"/>
    </row>
    <row r="35" spans="1:25" x14ac:dyDescent="0.25">
      <c r="A35" s="128" t="s">
        <v>84</v>
      </c>
      <c r="B35" s="129"/>
      <c r="C35" s="130"/>
      <c r="D35" s="129">
        <f>G33</f>
        <v>2</v>
      </c>
      <c r="E35" s="190">
        <v>400</v>
      </c>
      <c r="F35" s="130">
        <f>D35*E35</f>
        <v>800</v>
      </c>
      <c r="G35" s="187"/>
      <c r="H35" s="188" t="s">
        <v>18</v>
      </c>
      <c r="N35" s="128" t="s">
        <v>267</v>
      </c>
      <c r="O35" s="129"/>
      <c r="P35" s="130"/>
      <c r="Q35" s="129">
        <f>T33</f>
        <v>3</v>
      </c>
      <c r="R35" s="190">
        <v>100</v>
      </c>
      <c r="S35" s="130">
        <f>Q35*R35</f>
        <v>300</v>
      </c>
      <c r="T35" s="187"/>
      <c r="U35" s="188" t="s">
        <v>18</v>
      </c>
    </row>
    <row r="36" spans="1:25" x14ac:dyDescent="0.25">
      <c r="A36" s="129" t="s">
        <v>85</v>
      </c>
      <c r="B36" s="129"/>
      <c r="C36" s="130"/>
      <c r="D36" s="129">
        <f>G33</f>
        <v>2</v>
      </c>
      <c r="E36" s="130">
        <f>'Demographic Data'!B6</f>
        <v>1000</v>
      </c>
      <c r="F36" s="130">
        <f>D36*E36</f>
        <v>2000</v>
      </c>
      <c r="G36" s="187"/>
      <c r="H36" s="188" t="s">
        <v>18</v>
      </c>
      <c r="I36" s="41"/>
      <c r="J36" s="41"/>
      <c r="N36" s="129" t="s">
        <v>85</v>
      </c>
      <c r="O36" s="129"/>
      <c r="P36" s="130"/>
      <c r="Q36" s="129">
        <f>T33</f>
        <v>3</v>
      </c>
      <c r="R36" s="130">
        <f>'Demographic Data'!$B$6</f>
        <v>1000</v>
      </c>
      <c r="S36" s="130">
        <f>Q36*R36</f>
        <v>3000</v>
      </c>
      <c r="T36" s="187"/>
      <c r="U36" s="188" t="s">
        <v>18</v>
      </c>
      <c r="V36" s="41"/>
      <c r="W36" s="41"/>
    </row>
    <row r="37" spans="1:25" x14ac:dyDescent="0.25">
      <c r="A37" s="129" t="s">
        <v>30</v>
      </c>
      <c r="B37" s="129"/>
      <c r="C37" s="130"/>
      <c r="D37" s="129">
        <f>G33</f>
        <v>2</v>
      </c>
      <c r="E37" s="130">
        <f>'Demographic Data'!B3</f>
        <v>10000</v>
      </c>
      <c r="F37" s="130">
        <f>D37*E37</f>
        <v>20000</v>
      </c>
      <c r="G37" s="187"/>
      <c r="H37" s="188" t="s">
        <v>18</v>
      </c>
      <c r="I37" s="41"/>
      <c r="J37" s="41"/>
      <c r="N37" s="50" t="s">
        <v>26</v>
      </c>
      <c r="O37" s="9" t="s">
        <v>3</v>
      </c>
      <c r="P37" s="185">
        <f>'Prices_non-Labor'!$G$12</f>
        <v>1.4520000000000002</v>
      </c>
      <c r="Q37" s="53">
        <v>1</v>
      </c>
      <c r="R37" s="51">
        <f>R36*Q37</f>
        <v>1000</v>
      </c>
      <c r="S37" s="51">
        <f>R37*Q37</f>
        <v>1000</v>
      </c>
      <c r="T37" s="189">
        <f t="shared" ref="T37:T49" si="4">S37*P37</f>
        <v>1452.0000000000002</v>
      </c>
      <c r="U37" s="61" t="s">
        <v>16</v>
      </c>
      <c r="V37" s="137"/>
      <c r="W37" s="41"/>
    </row>
    <row r="38" spans="1:25" x14ac:dyDescent="0.25">
      <c r="A38" s="129" t="s">
        <v>19</v>
      </c>
      <c r="B38" s="129"/>
      <c r="C38" s="130"/>
      <c r="D38" s="129">
        <f>G33</f>
        <v>2</v>
      </c>
      <c r="E38" s="130">
        <f>'Demographic Data'!B4</f>
        <v>30000</v>
      </c>
      <c r="F38" s="130">
        <f>D38*E38</f>
        <v>60000</v>
      </c>
      <c r="G38" s="187"/>
      <c r="H38" s="188" t="s">
        <v>18</v>
      </c>
      <c r="I38" s="41"/>
      <c r="J38" s="41"/>
      <c r="N38" s="50" t="s">
        <v>79</v>
      </c>
      <c r="O38" s="9" t="s">
        <v>3</v>
      </c>
      <c r="P38" s="185">
        <f>'Prices_non-Labor'!$G$13</f>
        <v>1.2100000000000002</v>
      </c>
      <c r="Q38" s="53">
        <v>0.2</v>
      </c>
      <c r="R38" s="51">
        <f>SUM(R35:R36)</f>
        <v>1100</v>
      </c>
      <c r="S38" s="51">
        <f>R38*Q38</f>
        <v>220</v>
      </c>
      <c r="T38" s="189">
        <f t="shared" si="4"/>
        <v>266.20000000000005</v>
      </c>
      <c r="U38" s="61" t="s">
        <v>16</v>
      </c>
      <c r="V38" s="137"/>
      <c r="W38" s="41"/>
    </row>
    <row r="39" spans="1:25" x14ac:dyDescent="0.25">
      <c r="A39" s="50" t="s">
        <v>26</v>
      </c>
      <c r="B39" s="9" t="s">
        <v>3</v>
      </c>
      <c r="C39" s="219">
        <f>'Prices_non-Labor'!$G$12</f>
        <v>1.4520000000000002</v>
      </c>
      <c r="D39" s="53">
        <v>0.2</v>
      </c>
      <c r="E39" s="51">
        <f>SUM(E35+E36+E37+E38)</f>
        <v>41400</v>
      </c>
      <c r="F39" s="51">
        <f>E39*D39</f>
        <v>8280</v>
      </c>
      <c r="G39" s="189">
        <f>F39*C39</f>
        <v>12022.560000000001</v>
      </c>
      <c r="H39" s="61" t="s">
        <v>16</v>
      </c>
      <c r="I39" s="137"/>
      <c r="J39" s="41"/>
      <c r="N39" s="50" t="s">
        <v>292</v>
      </c>
      <c r="O39" s="9" t="s">
        <v>3</v>
      </c>
      <c r="P39" s="185">
        <f>'Prices_non-Labor'!$G$11</f>
        <v>1.2100000000000002</v>
      </c>
      <c r="Q39" s="9">
        <v>0</v>
      </c>
      <c r="R39" s="65">
        <f>$E$35</f>
        <v>400</v>
      </c>
      <c r="S39" s="51">
        <f t="shared" ref="S39:S43" si="5">Q39*R39</f>
        <v>0</v>
      </c>
      <c r="T39" s="189">
        <f t="shared" si="4"/>
        <v>0</v>
      </c>
      <c r="U39" s="61" t="s">
        <v>16</v>
      </c>
      <c r="V39" s="41"/>
      <c r="W39" s="41"/>
    </row>
    <row r="40" spans="1:25" x14ac:dyDescent="0.25">
      <c r="A40" s="50" t="s">
        <v>79</v>
      </c>
      <c r="B40" s="9" t="s">
        <v>3</v>
      </c>
      <c r="C40" s="219">
        <f>'Prices_non-Labor'!$G$13</f>
        <v>1.2100000000000002</v>
      </c>
      <c r="D40" s="53">
        <v>0.2</v>
      </c>
      <c r="E40" s="51">
        <f>SUM(E35:E38)</f>
        <v>41400</v>
      </c>
      <c r="F40" s="51">
        <f>E40*D40</f>
        <v>8280</v>
      </c>
      <c r="G40" s="189">
        <f t="shared" ref="G40:G61" si="6">F40*C40</f>
        <v>10018.800000000001</v>
      </c>
      <c r="H40" s="61" t="s">
        <v>16</v>
      </c>
      <c r="I40" s="137"/>
      <c r="J40" s="41"/>
      <c r="N40" s="9" t="s">
        <v>293</v>
      </c>
      <c r="O40" s="9" t="s">
        <v>3</v>
      </c>
      <c r="P40" s="185">
        <f>'Prices_non-Labor'!$G$11</f>
        <v>1.2100000000000002</v>
      </c>
      <c r="Q40" s="9">
        <v>1</v>
      </c>
      <c r="R40" s="65">
        <f>$E$36</f>
        <v>1000</v>
      </c>
      <c r="S40" s="51">
        <f t="shared" si="5"/>
        <v>1000</v>
      </c>
      <c r="T40" s="189">
        <f t="shared" si="4"/>
        <v>1210.0000000000002</v>
      </c>
      <c r="U40" s="61" t="s">
        <v>16</v>
      </c>
      <c r="V40" s="41"/>
      <c r="W40" s="41"/>
    </row>
    <row r="41" spans="1:25" x14ac:dyDescent="0.25">
      <c r="A41" s="50" t="s">
        <v>83</v>
      </c>
      <c r="B41" s="9" t="s">
        <v>3</v>
      </c>
      <c r="C41" s="219">
        <f>'Prices_non-Labor'!$G$11</f>
        <v>1.2100000000000002</v>
      </c>
      <c r="D41" s="9">
        <v>1</v>
      </c>
      <c r="E41" s="65">
        <f>$E$35</f>
        <v>400</v>
      </c>
      <c r="F41" s="51">
        <f t="shared" ref="F41:F47" si="7">D41*E41</f>
        <v>400</v>
      </c>
      <c r="G41" s="189">
        <f t="shared" si="6"/>
        <v>484.00000000000006</v>
      </c>
      <c r="H41" s="61" t="s">
        <v>16</v>
      </c>
      <c r="I41" s="41"/>
      <c r="J41" s="41"/>
      <c r="N41" s="50" t="s">
        <v>201</v>
      </c>
      <c r="O41" s="9" t="s">
        <v>41</v>
      </c>
      <c r="P41" s="186">
        <f>'Prices_non-Labor'!$G$30</f>
        <v>14.322150000000002</v>
      </c>
      <c r="Q41" s="52">
        <f>$T$33</f>
        <v>3</v>
      </c>
      <c r="R41" s="105">
        <f>$E$35*$E$33</f>
        <v>360</v>
      </c>
      <c r="S41" s="133">
        <f t="shared" si="5"/>
        <v>1080</v>
      </c>
      <c r="T41" s="189">
        <f t="shared" si="4"/>
        <v>15467.922000000002</v>
      </c>
      <c r="U41" s="61" t="s">
        <v>16</v>
      </c>
      <c r="V41" s="41"/>
      <c r="W41" s="41"/>
    </row>
    <row r="42" spans="1:25" x14ac:dyDescent="0.25">
      <c r="A42" s="9" t="s">
        <v>86</v>
      </c>
      <c r="B42" s="9" t="s">
        <v>3</v>
      </c>
      <c r="C42" s="219">
        <f>'Prices_non-Labor'!$G$11</f>
        <v>1.2100000000000002</v>
      </c>
      <c r="D42" s="9">
        <v>0.2</v>
      </c>
      <c r="E42" s="65">
        <f>$E$36</f>
        <v>1000</v>
      </c>
      <c r="F42" s="51">
        <f t="shared" si="7"/>
        <v>200</v>
      </c>
      <c r="G42" s="189">
        <f t="shared" si="6"/>
        <v>242.00000000000003</v>
      </c>
      <c r="H42" s="61" t="s">
        <v>16</v>
      </c>
      <c r="I42" s="41"/>
      <c r="J42" s="41"/>
      <c r="N42" s="50" t="s">
        <v>203</v>
      </c>
      <c r="O42" s="9" t="s">
        <v>41</v>
      </c>
      <c r="P42" s="186">
        <f>'Prices_non-Labor'!$G$36</f>
        <v>36.070600000000006</v>
      </c>
      <c r="Q42" s="9">
        <v>1</v>
      </c>
      <c r="R42" s="105">
        <f>$E$35*$C$33</f>
        <v>40</v>
      </c>
      <c r="S42" s="51">
        <f t="shared" si="5"/>
        <v>40</v>
      </c>
      <c r="T42" s="189">
        <f t="shared" si="4"/>
        <v>1442.8240000000003</v>
      </c>
      <c r="U42" s="61" t="s">
        <v>16</v>
      </c>
      <c r="V42" s="41"/>
      <c r="W42" s="41"/>
      <c r="X42" s="8"/>
    </row>
    <row r="43" spans="1:25" x14ac:dyDescent="0.25">
      <c r="A43" s="9" t="s">
        <v>31</v>
      </c>
      <c r="B43" s="9" t="s">
        <v>3</v>
      </c>
      <c r="C43" s="219">
        <f>'Prices_non-Labor'!$G$11</f>
        <v>1.2100000000000002</v>
      </c>
      <c r="D43" s="9">
        <v>0.2</v>
      </c>
      <c r="E43" s="65">
        <f>$E$37</f>
        <v>10000</v>
      </c>
      <c r="F43" s="51">
        <f t="shared" si="7"/>
        <v>2000</v>
      </c>
      <c r="G43" s="189">
        <f t="shared" si="6"/>
        <v>2420.0000000000005</v>
      </c>
      <c r="H43" s="61" t="s">
        <v>16</v>
      </c>
      <c r="I43" s="41"/>
      <c r="J43" s="41"/>
      <c r="N43" s="9" t="s">
        <v>198</v>
      </c>
      <c r="O43" s="9" t="s">
        <v>41</v>
      </c>
      <c r="P43" s="186">
        <f>'Prices_non-Labor'!$G$30</f>
        <v>14.322150000000002</v>
      </c>
      <c r="Q43" s="52">
        <f>$T$33</f>
        <v>3</v>
      </c>
      <c r="R43" s="105">
        <f>R36*$E$33</f>
        <v>900</v>
      </c>
      <c r="S43" s="51">
        <f t="shared" si="5"/>
        <v>2700</v>
      </c>
      <c r="T43" s="189">
        <f t="shared" si="4"/>
        <v>38669.805000000008</v>
      </c>
      <c r="U43" s="61" t="s">
        <v>16</v>
      </c>
      <c r="V43" s="41"/>
      <c r="W43" s="41"/>
    </row>
    <row r="44" spans="1:25" x14ac:dyDescent="0.25">
      <c r="A44" s="9" t="s">
        <v>27</v>
      </c>
      <c r="B44" s="9" t="s">
        <v>3</v>
      </c>
      <c r="C44" s="219">
        <f>'Prices_non-Labor'!$G$11</f>
        <v>1.2100000000000002</v>
      </c>
      <c r="D44" s="9">
        <v>0.2</v>
      </c>
      <c r="E44" s="65">
        <f>$E$38</f>
        <v>30000</v>
      </c>
      <c r="F44" s="51">
        <f t="shared" si="7"/>
        <v>6000</v>
      </c>
      <c r="G44" s="189">
        <f t="shared" si="6"/>
        <v>7260.0000000000009</v>
      </c>
      <c r="H44" s="61" t="s">
        <v>16</v>
      </c>
      <c r="I44" s="41"/>
      <c r="J44" s="41"/>
      <c r="N44" s="9" t="s">
        <v>204</v>
      </c>
      <c r="O44" s="9" t="s">
        <v>41</v>
      </c>
      <c r="P44" s="186">
        <f>'Prices_non-Labor'!$G$36</f>
        <v>36.070600000000006</v>
      </c>
      <c r="Q44" s="9">
        <v>1</v>
      </c>
      <c r="R44" s="45">
        <f>$E$36*P33</f>
        <v>100</v>
      </c>
      <c r="S44" s="65">
        <f>R44*Q44</f>
        <v>100</v>
      </c>
      <c r="T44" s="189">
        <f t="shared" si="4"/>
        <v>3607.0600000000004</v>
      </c>
      <c r="U44" s="61" t="s">
        <v>16</v>
      </c>
      <c r="V44" s="41"/>
      <c r="W44" s="41"/>
    </row>
    <row r="45" spans="1:25" x14ac:dyDescent="0.25">
      <c r="A45" s="50" t="s">
        <v>201</v>
      </c>
      <c r="B45" s="9" t="s">
        <v>41</v>
      </c>
      <c r="C45" s="218">
        <f>'Prices_non-Labor'!$G$30</f>
        <v>14.322150000000002</v>
      </c>
      <c r="D45" s="52">
        <f>$G$33</f>
        <v>2</v>
      </c>
      <c r="E45" s="105">
        <f>E35*E33</f>
        <v>360</v>
      </c>
      <c r="F45" s="133">
        <f t="shared" si="7"/>
        <v>720</v>
      </c>
      <c r="G45" s="189">
        <f t="shared" si="6"/>
        <v>10311.948000000002</v>
      </c>
      <c r="H45" s="61" t="s">
        <v>16</v>
      </c>
      <c r="I45" s="41"/>
      <c r="J45" s="41"/>
      <c r="N45" s="50" t="s">
        <v>201</v>
      </c>
      <c r="O45" s="9" t="s">
        <v>109</v>
      </c>
      <c r="P45" s="65">
        <f>'Prices_non-Labor'!$G$29</f>
        <v>6.8958500000000003</v>
      </c>
      <c r="Q45" s="52">
        <f>$T$33</f>
        <v>3</v>
      </c>
      <c r="R45" s="105">
        <f>$E$35*$E$33</f>
        <v>360</v>
      </c>
      <c r="S45" s="133">
        <f>Q45*R45</f>
        <v>1080</v>
      </c>
      <c r="T45" s="189">
        <f t="shared" si="4"/>
        <v>7447.518</v>
      </c>
      <c r="U45" s="61" t="s">
        <v>16</v>
      </c>
      <c r="V45" s="54"/>
      <c r="W45" s="54"/>
    </row>
    <row r="46" spans="1:25" x14ac:dyDescent="0.25">
      <c r="A46" s="50" t="s">
        <v>203</v>
      </c>
      <c r="B46" s="9" t="s">
        <v>41</v>
      </c>
      <c r="C46" s="185">
        <f>'Prices_non-Labor'!$G$36</f>
        <v>36.070600000000006</v>
      </c>
      <c r="D46" s="9">
        <v>1</v>
      </c>
      <c r="E46" s="65">
        <f>$E$35*C33</f>
        <v>40</v>
      </c>
      <c r="F46" s="51">
        <f t="shared" si="7"/>
        <v>40</v>
      </c>
      <c r="G46" s="189">
        <f t="shared" si="6"/>
        <v>1442.8240000000003</v>
      </c>
      <c r="H46" s="61" t="s">
        <v>16</v>
      </c>
      <c r="I46" s="41"/>
      <c r="J46" s="41"/>
      <c r="N46" s="50" t="s">
        <v>203</v>
      </c>
      <c r="O46" s="9" t="s">
        <v>109</v>
      </c>
      <c r="P46" s="65">
        <f>'Prices_non-Labor'!$G$35</f>
        <v>25.461600000000001</v>
      </c>
      <c r="Q46" s="52">
        <f t="shared" ref="Q46:Q49" si="8">$T$33</f>
        <v>3</v>
      </c>
      <c r="R46" s="65">
        <f>$E$35*P33</f>
        <v>40</v>
      </c>
      <c r="S46" s="51">
        <f>Q46*R46</f>
        <v>120</v>
      </c>
      <c r="T46" s="189">
        <f t="shared" si="4"/>
        <v>3055.3920000000003</v>
      </c>
      <c r="U46" s="61" t="s">
        <v>16</v>
      </c>
      <c r="V46" s="54"/>
      <c r="W46" s="54"/>
    </row>
    <row r="47" spans="1:25" x14ac:dyDescent="0.25">
      <c r="A47" s="9" t="s">
        <v>198</v>
      </c>
      <c r="B47" s="9" t="s">
        <v>41</v>
      </c>
      <c r="C47" s="218">
        <f>'Prices_non-Labor'!$G$30</f>
        <v>14.322150000000002</v>
      </c>
      <c r="D47" s="52">
        <f>$G$33</f>
        <v>2</v>
      </c>
      <c r="E47" s="65">
        <f>$E$36*E33</f>
        <v>900</v>
      </c>
      <c r="F47" s="51">
        <f t="shared" si="7"/>
        <v>1800</v>
      </c>
      <c r="G47" s="189">
        <f t="shared" si="6"/>
        <v>25779.870000000003</v>
      </c>
      <c r="H47" s="61" t="s">
        <v>16</v>
      </c>
      <c r="I47" s="41"/>
      <c r="J47" s="41"/>
      <c r="N47" s="9" t="s">
        <v>198</v>
      </c>
      <c r="O47" s="9" t="s">
        <v>109</v>
      </c>
      <c r="P47" s="65">
        <f>'Prices_non-Labor'!$G$29</f>
        <v>6.8958500000000003</v>
      </c>
      <c r="Q47" s="52">
        <f t="shared" si="8"/>
        <v>3</v>
      </c>
      <c r="R47" s="65">
        <f>$E$36*R33</f>
        <v>900</v>
      </c>
      <c r="S47" s="51">
        <f>Q47*R47</f>
        <v>2700</v>
      </c>
      <c r="T47" s="189">
        <f t="shared" si="4"/>
        <v>18618.795000000002</v>
      </c>
      <c r="U47" s="61" t="s">
        <v>16</v>
      </c>
      <c r="V47" s="135"/>
      <c r="W47" s="69"/>
      <c r="X47" s="8"/>
      <c r="Y47" s="8"/>
    </row>
    <row r="48" spans="1:25" x14ac:dyDescent="0.25">
      <c r="A48" s="9" t="s">
        <v>204</v>
      </c>
      <c r="B48" s="9" t="s">
        <v>41</v>
      </c>
      <c r="C48" s="185">
        <f>'Prices_non-Labor'!$G$36</f>
        <v>36.070600000000006</v>
      </c>
      <c r="D48" s="9">
        <v>1</v>
      </c>
      <c r="E48" s="45">
        <f>$E$36*C33</f>
        <v>100</v>
      </c>
      <c r="F48" s="65">
        <f>E48*D48</f>
        <v>100</v>
      </c>
      <c r="G48" s="189">
        <f t="shared" si="6"/>
        <v>3607.0600000000004</v>
      </c>
      <c r="H48" s="61" t="s">
        <v>16</v>
      </c>
      <c r="I48" s="41"/>
      <c r="J48" s="41"/>
      <c r="N48" s="9" t="s">
        <v>204</v>
      </c>
      <c r="O48" s="9" t="s">
        <v>109</v>
      </c>
      <c r="P48" s="65">
        <f>'Prices_non-Labor'!$G$35</f>
        <v>25.461600000000001</v>
      </c>
      <c r="Q48" s="52">
        <f t="shared" si="8"/>
        <v>3</v>
      </c>
      <c r="R48" s="45">
        <f>$E$36*P33</f>
        <v>100</v>
      </c>
      <c r="S48" s="65">
        <f>R48*Q48</f>
        <v>300</v>
      </c>
      <c r="T48" s="189">
        <f t="shared" si="4"/>
        <v>7638.4800000000005</v>
      </c>
      <c r="U48" s="61" t="s">
        <v>16</v>
      </c>
      <c r="V48" s="135"/>
      <c r="W48" s="69"/>
      <c r="X48" s="8"/>
      <c r="Y48" s="8"/>
    </row>
    <row r="49" spans="1:26" x14ac:dyDescent="0.25">
      <c r="A49" s="9" t="s">
        <v>199</v>
      </c>
      <c r="B49" s="9" t="s">
        <v>41</v>
      </c>
      <c r="C49" s="218">
        <f>'Prices_non-Labor'!$G$30</f>
        <v>14.322150000000002</v>
      </c>
      <c r="D49" s="52">
        <f>$G$33</f>
        <v>2</v>
      </c>
      <c r="E49" s="65">
        <f>$E$37*E33</f>
        <v>9000</v>
      </c>
      <c r="F49" s="51">
        <f>D49*E49</f>
        <v>18000</v>
      </c>
      <c r="G49" s="189">
        <f t="shared" si="6"/>
        <v>257798.70000000004</v>
      </c>
      <c r="H49" s="61" t="s">
        <v>16</v>
      </c>
      <c r="I49" s="41"/>
      <c r="J49" s="41"/>
      <c r="N49" s="9" t="s">
        <v>39</v>
      </c>
      <c r="O49" s="9" t="s">
        <v>15</v>
      </c>
      <c r="P49" s="185">
        <f>'Prices_non-Labor'!$G$24</f>
        <v>133.10000000000005</v>
      </c>
      <c r="Q49" s="52">
        <f t="shared" si="8"/>
        <v>3</v>
      </c>
      <c r="R49" s="59">
        <v>400</v>
      </c>
      <c r="S49" s="65">
        <f>Q49*R49</f>
        <v>1200</v>
      </c>
      <c r="T49" s="189">
        <f t="shared" si="4"/>
        <v>159720.00000000006</v>
      </c>
      <c r="U49" s="61" t="s">
        <v>16</v>
      </c>
      <c r="V49" s="131"/>
      <c r="W49" s="131"/>
      <c r="X49" s="8"/>
      <c r="Y49" s="8"/>
    </row>
    <row r="50" spans="1:26" x14ac:dyDescent="0.25">
      <c r="A50" s="9" t="s">
        <v>205</v>
      </c>
      <c r="B50" s="9" t="s">
        <v>41</v>
      </c>
      <c r="C50" s="185">
        <f>'Prices_non-Labor'!$G$36</f>
        <v>36.070600000000006</v>
      </c>
      <c r="D50" s="9">
        <v>1</v>
      </c>
      <c r="E50" s="45">
        <f>$E$37*C33</f>
        <v>1000</v>
      </c>
      <c r="F50" s="65">
        <f>E50*D50</f>
        <v>1000</v>
      </c>
      <c r="G50" s="189">
        <f t="shared" si="6"/>
        <v>36070.600000000006</v>
      </c>
      <c r="H50" s="61" t="s">
        <v>16</v>
      </c>
      <c r="I50" s="41"/>
      <c r="J50" s="41"/>
      <c r="Q50" s="103"/>
      <c r="R50" s="70"/>
      <c r="S50" s="126"/>
      <c r="U50" s="8"/>
      <c r="V50" s="72"/>
      <c r="W50" s="72"/>
      <c r="X50" s="127"/>
      <c r="Y50" s="64"/>
    </row>
    <row r="51" spans="1:26" ht="45" x14ac:dyDescent="0.25">
      <c r="A51" s="9" t="s">
        <v>200</v>
      </c>
      <c r="B51" s="9" t="s">
        <v>41</v>
      </c>
      <c r="C51" s="218">
        <f>'Prices_non-Labor'!$G$30</f>
        <v>14.322150000000002</v>
      </c>
      <c r="D51" s="52">
        <f>$G$33</f>
        <v>2</v>
      </c>
      <c r="E51" s="65">
        <f>$E$38*E33</f>
        <v>27000</v>
      </c>
      <c r="F51" s="51">
        <f>D51*E51</f>
        <v>54000</v>
      </c>
      <c r="G51" s="189">
        <f t="shared" si="6"/>
        <v>773396.10000000009</v>
      </c>
      <c r="H51" s="61" t="s">
        <v>16</v>
      </c>
      <c r="I51" s="41"/>
      <c r="J51" s="41"/>
      <c r="N51" s="178" t="s">
        <v>1</v>
      </c>
      <c r="O51" s="176" t="s">
        <v>32</v>
      </c>
      <c r="P51" s="176"/>
      <c r="Q51" s="178" t="s">
        <v>1</v>
      </c>
      <c r="R51" s="179"/>
      <c r="S51" s="179"/>
      <c r="T51" s="180" t="s">
        <v>32</v>
      </c>
      <c r="U51" s="178" t="s">
        <v>1</v>
      </c>
      <c r="V51" s="179"/>
      <c r="W51" s="179"/>
      <c r="X51" s="175" t="s">
        <v>32</v>
      </c>
      <c r="Y51" s="332" t="s">
        <v>45</v>
      </c>
    </row>
    <row r="52" spans="1:26" x14ac:dyDescent="0.25">
      <c r="A52" s="9" t="s">
        <v>206</v>
      </c>
      <c r="B52" s="9" t="s">
        <v>41</v>
      </c>
      <c r="C52" s="185">
        <f>'Prices_non-Labor'!$G$36</f>
        <v>36.070600000000006</v>
      </c>
      <c r="D52" s="9">
        <v>1</v>
      </c>
      <c r="E52" s="45">
        <f>$E$38*C33</f>
        <v>3000</v>
      </c>
      <c r="F52" s="51">
        <f>D52*E52</f>
        <v>3000</v>
      </c>
      <c r="G52" s="189">
        <f t="shared" si="6"/>
        <v>108211.80000000002</v>
      </c>
      <c r="H52" s="61" t="s">
        <v>16</v>
      </c>
      <c r="I52" s="54" t="s">
        <v>1</v>
      </c>
      <c r="J52" s="54"/>
      <c r="N52" s="59" t="s">
        <v>268</v>
      </c>
      <c r="O52" s="186">
        <f>SUM(T37:T49)</f>
        <v>258595.99600000007</v>
      </c>
      <c r="P52" s="79"/>
      <c r="Q52" s="427" t="s">
        <v>269</v>
      </c>
      <c r="R52" s="428"/>
      <c r="S52" s="429"/>
      <c r="T52" s="84">
        <f>O52/'Demographic Data'!$B$3</f>
        <v>25.859599600000006</v>
      </c>
      <c r="U52" s="115" t="s">
        <v>272</v>
      </c>
      <c r="V52" s="116"/>
      <c r="W52" s="117"/>
      <c r="X52" s="71">
        <f>SUMIFS($T$37:$T$49, $O$37:$O$49, "Materials", $U$37:$U$49, "Yes")</f>
        <v>2928.2000000000007</v>
      </c>
      <c r="Y52" s="97">
        <f>X52/$O$52</f>
        <v>1.1323454520927694E-2</v>
      </c>
    </row>
    <row r="53" spans="1:26" x14ac:dyDescent="0.25">
      <c r="A53" s="50" t="s">
        <v>201</v>
      </c>
      <c r="B53" s="9" t="s">
        <v>109</v>
      </c>
      <c r="C53" s="76">
        <f>'Prices_non-Labor'!$G$29</f>
        <v>6.8958500000000003</v>
      </c>
      <c r="D53" s="52">
        <f>$G$33</f>
        <v>2</v>
      </c>
      <c r="E53" s="105">
        <f>$E$35*E33</f>
        <v>360</v>
      </c>
      <c r="F53" s="133">
        <f>D53*E53</f>
        <v>720</v>
      </c>
      <c r="G53" s="189">
        <f t="shared" si="6"/>
        <v>4965.0120000000006</v>
      </c>
      <c r="H53" s="61" t="s">
        <v>16</v>
      </c>
      <c r="I53" s="54"/>
      <c r="J53" s="54"/>
      <c r="N53" s="59"/>
      <c r="O53" s="74"/>
      <c r="P53" s="71"/>
      <c r="Q53" s="427" t="s">
        <v>270</v>
      </c>
      <c r="R53" s="428"/>
      <c r="S53" s="429"/>
      <c r="T53" s="84">
        <f>O52/'Demographic Data'!$B$4</f>
        <v>8.6198665333333349</v>
      </c>
      <c r="U53" s="115" t="s">
        <v>273</v>
      </c>
      <c r="V53" s="116"/>
      <c r="W53" s="117"/>
      <c r="X53" s="71">
        <f>SUMIFS($T$37:$T$49, $O$37:$O$49, "Transportation", $U$37:$U$49, "Yes")</f>
        <v>59187.611000000004</v>
      </c>
      <c r="Y53" s="97">
        <f>X53/$O$52</f>
        <v>0.22888061654287944</v>
      </c>
    </row>
    <row r="54" spans="1:26" x14ac:dyDescent="0.25">
      <c r="A54" s="50" t="s">
        <v>203</v>
      </c>
      <c r="B54" s="9" t="s">
        <v>109</v>
      </c>
      <c r="C54" s="185">
        <f>'Prices_non-Labor'!$G$35</f>
        <v>25.461600000000001</v>
      </c>
      <c r="D54" s="52">
        <f t="shared" ref="D54:D61" si="9">$G$33</f>
        <v>2</v>
      </c>
      <c r="E54" s="65">
        <f>$E$35*C33</f>
        <v>40</v>
      </c>
      <c r="F54" s="51">
        <f>D54*E54</f>
        <v>80</v>
      </c>
      <c r="G54" s="189">
        <f t="shared" si="6"/>
        <v>2036.9280000000001</v>
      </c>
      <c r="H54" s="61" t="s">
        <v>16</v>
      </c>
      <c r="I54" s="54"/>
      <c r="J54" s="54"/>
      <c r="N54" s="62"/>
      <c r="O54" s="83"/>
      <c r="P54" s="82"/>
      <c r="Q54" s="427" t="s">
        <v>271</v>
      </c>
      <c r="R54" s="428"/>
      <c r="S54" s="429"/>
      <c r="T54" s="228">
        <f>O52/'Demographic Data'!$B$5</f>
        <v>0.21549666333333339</v>
      </c>
      <c r="U54" s="116" t="s">
        <v>274</v>
      </c>
      <c r="V54" s="116"/>
      <c r="W54" s="117"/>
      <c r="X54" s="71">
        <f>SUMIFS($T$37:$T$49, $O$37:$O$49, "Meals/Per Diem", $U$37:$U$49, "Yes")</f>
        <v>36760.185000000005</v>
      </c>
      <c r="Y54" s="97">
        <f>X54/$O$52</f>
        <v>0.14215295506740946</v>
      </c>
    </row>
    <row r="55" spans="1:26" s="8" customFormat="1" x14ac:dyDescent="0.25">
      <c r="A55" s="9" t="s">
        <v>198</v>
      </c>
      <c r="B55" s="9" t="s">
        <v>109</v>
      </c>
      <c r="C55" s="76">
        <f>'Prices_non-Labor'!$G$29</f>
        <v>6.8958500000000003</v>
      </c>
      <c r="D55" s="52">
        <f t="shared" si="9"/>
        <v>2</v>
      </c>
      <c r="E55" s="65">
        <f>$E$36*E33</f>
        <v>900</v>
      </c>
      <c r="F55" s="51">
        <f>D55*E55</f>
        <v>1800</v>
      </c>
      <c r="G55" s="189">
        <f t="shared" si="6"/>
        <v>12412.53</v>
      </c>
      <c r="H55" s="61" t="s">
        <v>16</v>
      </c>
      <c r="I55" s="135"/>
      <c r="J55" s="69"/>
      <c r="M55" s="7"/>
      <c r="N55" s="48"/>
      <c r="O55" s="48"/>
      <c r="P55" s="48"/>
      <c r="Q55" s="430"/>
      <c r="R55" s="430"/>
      <c r="S55" s="430"/>
      <c r="T55" s="193"/>
      <c r="U55" s="59" t="s">
        <v>275</v>
      </c>
      <c r="V55" s="59"/>
      <c r="W55" s="59"/>
      <c r="X55" s="71">
        <f>SUMIFS($T$37:$T$49, $O$37:$O$49, "Facilities", $U$37:$U$49, "Yes")</f>
        <v>159720.00000000006</v>
      </c>
      <c r="Y55" s="97">
        <f>X55/$O$52</f>
        <v>0.61764297386878342</v>
      </c>
      <c r="Z55"/>
    </row>
    <row r="56" spans="1:26" s="8" customFormat="1" x14ac:dyDescent="0.25">
      <c r="A56" s="9" t="s">
        <v>204</v>
      </c>
      <c r="B56" s="9" t="s">
        <v>109</v>
      </c>
      <c r="C56" s="185">
        <f>'Prices_non-Labor'!$G$35</f>
        <v>25.461600000000001</v>
      </c>
      <c r="D56" s="52">
        <f t="shared" si="9"/>
        <v>2</v>
      </c>
      <c r="E56" s="45">
        <f>$E$36*C33</f>
        <v>100</v>
      </c>
      <c r="F56" s="65">
        <f>E56*D56</f>
        <v>200</v>
      </c>
      <c r="G56" s="189">
        <f t="shared" si="6"/>
        <v>5092.32</v>
      </c>
      <c r="H56" s="61" t="s">
        <v>16</v>
      </c>
      <c r="I56" s="135"/>
      <c r="J56" s="69"/>
      <c r="M56" s="7"/>
      <c r="P56" s="48"/>
      <c r="V56" s="431"/>
      <c r="W56" s="432"/>
      <c r="X56" s="432"/>
      <c r="Y56" s="67">
        <f>SUM(Y52:Y55)</f>
        <v>1</v>
      </c>
      <c r="Z56"/>
    </row>
    <row r="57" spans="1:26" s="8" customFormat="1" x14ac:dyDescent="0.25">
      <c r="A57" s="9" t="s">
        <v>199</v>
      </c>
      <c r="B57" s="9" t="s">
        <v>109</v>
      </c>
      <c r="C57" s="76">
        <f>'Prices_non-Labor'!$G$29</f>
        <v>6.8958500000000003</v>
      </c>
      <c r="D57" s="52">
        <f t="shared" si="9"/>
        <v>2</v>
      </c>
      <c r="E57" s="65">
        <f>$E$37*E33</f>
        <v>9000</v>
      </c>
      <c r="F57" s="51">
        <f>D57*E57</f>
        <v>18000</v>
      </c>
      <c r="G57" s="189">
        <f t="shared" si="6"/>
        <v>124125.3</v>
      </c>
      <c r="H57" s="61" t="s">
        <v>16</v>
      </c>
      <c r="I57" s="135"/>
      <c r="J57" s="69"/>
      <c r="M57" s="7"/>
      <c r="N57"/>
      <c r="O57"/>
      <c r="P57"/>
      <c r="Q57"/>
      <c r="R57"/>
      <c r="S57"/>
      <c r="T57"/>
      <c r="U57"/>
      <c r="V57"/>
      <c r="W57"/>
      <c r="X57"/>
      <c r="Y57"/>
      <c r="Z57"/>
    </row>
    <row r="58" spans="1:26" s="8" customFormat="1" ht="90" x14ac:dyDescent="0.25">
      <c r="A58" s="9" t="s">
        <v>205</v>
      </c>
      <c r="B58" s="9" t="s">
        <v>109</v>
      </c>
      <c r="C58" s="185">
        <f>'Prices_non-Labor'!$G$35</f>
        <v>25.461600000000001</v>
      </c>
      <c r="D58" s="52">
        <f t="shared" si="9"/>
        <v>2</v>
      </c>
      <c r="E58" s="45">
        <f>$E$37*C33</f>
        <v>1000</v>
      </c>
      <c r="F58" s="65">
        <f>E58*D58</f>
        <v>2000</v>
      </c>
      <c r="G58" s="189">
        <f t="shared" si="6"/>
        <v>50923.200000000004</v>
      </c>
      <c r="H58" s="61" t="s">
        <v>16</v>
      </c>
      <c r="I58" s="135"/>
      <c r="J58" s="69"/>
      <c r="M58" s="7"/>
      <c r="N58" s="161" t="s">
        <v>288</v>
      </c>
      <c r="O58" s="144" t="s">
        <v>0</v>
      </c>
      <c r="P58" s="143" t="s">
        <v>146</v>
      </c>
      <c r="Q58" s="143" t="s">
        <v>25</v>
      </c>
      <c r="R58" s="143" t="s">
        <v>20</v>
      </c>
      <c r="S58" s="143" t="s">
        <v>21</v>
      </c>
      <c r="T58" s="143" t="s">
        <v>114</v>
      </c>
      <c r="U58" s="143" t="s">
        <v>17</v>
      </c>
      <c r="V58" s="320"/>
      <c r="W58" s="320"/>
      <c r="X58" s="320"/>
      <c r="Y58" s="321"/>
      <c r="Z58"/>
    </row>
    <row r="59" spans="1:26" s="8" customFormat="1" x14ac:dyDescent="0.25">
      <c r="A59" s="9" t="s">
        <v>202</v>
      </c>
      <c r="B59" s="9" t="s">
        <v>109</v>
      </c>
      <c r="C59" s="76">
        <f>'Prices_non-Labor'!$G$29</f>
        <v>6.8958500000000003</v>
      </c>
      <c r="D59" s="52">
        <f t="shared" si="9"/>
        <v>2</v>
      </c>
      <c r="E59" s="65">
        <f>$E$38*E33</f>
        <v>27000</v>
      </c>
      <c r="F59" s="51">
        <f>D59*E59</f>
        <v>54000</v>
      </c>
      <c r="G59" s="189">
        <f t="shared" si="6"/>
        <v>372375.9</v>
      </c>
      <c r="H59" s="61" t="s">
        <v>16</v>
      </c>
      <c r="I59" s="135"/>
      <c r="J59" s="69"/>
      <c r="M59" s="7"/>
      <c r="N59" s="9" t="s">
        <v>85</v>
      </c>
      <c r="O59" s="9" t="s">
        <v>2</v>
      </c>
      <c r="P59" s="9"/>
      <c r="Q59" s="52">
        <f>$X$3</f>
        <v>9</v>
      </c>
      <c r="R59" s="65">
        <f>'Demographic Data'!$B$3</f>
        <v>10000</v>
      </c>
      <c r="S59" s="51">
        <f>R59*Q59</f>
        <v>90000</v>
      </c>
      <c r="T59" s="322"/>
      <c r="U59" s="61" t="s">
        <v>18</v>
      </c>
      <c r="V59" s="322"/>
      <c r="W59" s="45"/>
      <c r="X59" s="45"/>
      <c r="Y59" s="61"/>
      <c r="Z59"/>
    </row>
    <row r="60" spans="1:26" s="8" customFormat="1" x14ac:dyDescent="0.25">
      <c r="A60" s="9" t="s">
        <v>207</v>
      </c>
      <c r="B60" s="9" t="s">
        <v>109</v>
      </c>
      <c r="C60" s="185">
        <f>'Prices_non-Labor'!$G$35</f>
        <v>25.461600000000001</v>
      </c>
      <c r="D60" s="52">
        <f t="shared" si="9"/>
        <v>2</v>
      </c>
      <c r="E60" s="45">
        <f>$E$38*C33</f>
        <v>3000</v>
      </c>
      <c r="F60" s="51">
        <f>D60*E60</f>
        <v>6000</v>
      </c>
      <c r="G60" s="189">
        <f>F60*C60</f>
        <v>152769.60000000001</v>
      </c>
      <c r="H60" s="61" t="s">
        <v>16</v>
      </c>
      <c r="I60" s="131"/>
      <c r="J60" s="131"/>
      <c r="M60" s="7"/>
      <c r="N60" s="9" t="s">
        <v>85</v>
      </c>
      <c r="O60" s="9" t="s">
        <v>41</v>
      </c>
      <c r="P60" s="195">
        <f>'Prices_non-Labor'!$G$46</f>
        <v>11.547210884353742</v>
      </c>
      <c r="Q60" s="52">
        <f t="shared" ref="Q60:Q62" si="10">$X$3</f>
        <v>9</v>
      </c>
      <c r="R60" s="65">
        <f>'Demographic Data'!$B$3</f>
        <v>10000</v>
      </c>
      <c r="S60" s="51">
        <f>Q60*R60/3</f>
        <v>30000</v>
      </c>
      <c r="T60" s="322">
        <f>SUM(S60*P60)</f>
        <v>346416.32653061225</v>
      </c>
      <c r="U60" s="61" t="s">
        <v>16</v>
      </c>
      <c r="V60" s="322"/>
      <c r="W60" s="45"/>
      <c r="X60" s="45"/>
      <c r="Y60" s="61"/>
      <c r="Z60"/>
    </row>
    <row r="61" spans="1:26" s="8" customFormat="1" x14ac:dyDescent="0.25">
      <c r="A61" s="9" t="s">
        <v>39</v>
      </c>
      <c r="B61" s="9" t="s">
        <v>15</v>
      </c>
      <c r="C61" s="185">
        <f>'Prices_non-Labor'!$G$24</f>
        <v>133.10000000000005</v>
      </c>
      <c r="D61" s="52">
        <f t="shared" si="9"/>
        <v>2</v>
      </c>
      <c r="E61" s="59">
        <v>500</v>
      </c>
      <c r="F61" s="65">
        <f>D61*E61</f>
        <v>1000</v>
      </c>
      <c r="G61" s="189">
        <f t="shared" si="6"/>
        <v>133100.00000000006</v>
      </c>
      <c r="H61" s="61" t="s">
        <v>16</v>
      </c>
      <c r="I61" s="131"/>
      <c r="J61" s="131"/>
      <c r="M61" s="7"/>
      <c r="N61" s="9" t="s">
        <v>85</v>
      </c>
      <c r="O61" s="9" t="s">
        <v>356</v>
      </c>
      <c r="P61" s="43">
        <f>'Prices_non-Labor'!$G$45</f>
        <v>7.2141199999999994</v>
      </c>
      <c r="Q61" s="52">
        <f t="shared" si="10"/>
        <v>9</v>
      </c>
      <c r="R61" s="65">
        <f>'Demographic Data'!$B$3</f>
        <v>10000</v>
      </c>
      <c r="S61" s="51">
        <f>Q61*R61/3</f>
        <v>30000</v>
      </c>
      <c r="T61" s="322">
        <f t="shared" ref="T61:T62" si="11">SUM(S61*P61)</f>
        <v>216423.59999999998</v>
      </c>
      <c r="U61" s="61" t="s">
        <v>16</v>
      </c>
      <c r="V61" s="322"/>
      <c r="W61" s="45"/>
      <c r="X61" s="45"/>
      <c r="Y61" s="61"/>
      <c r="Z61"/>
    </row>
    <row r="62" spans="1:26" s="8" customFormat="1" x14ac:dyDescent="0.25">
      <c r="A62"/>
      <c r="B62"/>
      <c r="C62"/>
      <c r="D62" s="103"/>
      <c r="E62" s="70"/>
      <c r="F62" s="126"/>
      <c r="G62"/>
      <c r="I62" s="72"/>
      <c r="J62" s="72"/>
      <c r="K62" s="127"/>
      <c r="L62" s="64"/>
      <c r="M62" s="282"/>
      <c r="N62" s="9" t="s">
        <v>85</v>
      </c>
      <c r="O62" s="9" t="s">
        <v>3</v>
      </c>
      <c r="P62" s="43">
        <f>'Prices_non-Labor'!$G$47</f>
        <v>0.36300000000000004</v>
      </c>
      <c r="Q62" s="52">
        <f t="shared" si="10"/>
        <v>9</v>
      </c>
      <c r="R62" s="65">
        <f>'Demographic Data'!$B$3</f>
        <v>10000</v>
      </c>
      <c r="S62" s="51">
        <f>SUM(Q62*R62)*2</f>
        <v>180000</v>
      </c>
      <c r="T62" s="322">
        <f t="shared" si="11"/>
        <v>65340.000000000007</v>
      </c>
      <c r="U62" s="61" t="s">
        <v>16</v>
      </c>
      <c r="V62" s="51"/>
      <c r="W62" s="51"/>
      <c r="X62" s="51"/>
      <c r="Y62" s="61"/>
    </row>
    <row r="63" spans="1:26" s="8" customFormat="1" x14ac:dyDescent="0.25">
      <c r="A63" s="178" t="s">
        <v>1</v>
      </c>
      <c r="B63" s="176" t="s">
        <v>32</v>
      </c>
      <c r="C63" s="176"/>
      <c r="D63" s="178" t="s">
        <v>1</v>
      </c>
      <c r="E63" s="179"/>
      <c r="F63" s="179" t="s">
        <v>1</v>
      </c>
      <c r="G63" s="180" t="s">
        <v>32</v>
      </c>
      <c r="H63" s="178" t="s">
        <v>1</v>
      </c>
      <c r="I63" s="179"/>
      <c r="J63" s="179"/>
      <c r="K63" s="175" t="s">
        <v>32</v>
      </c>
      <c r="L63" s="177" t="s">
        <v>45</v>
      </c>
      <c r="M63" s="7"/>
      <c r="N63"/>
      <c r="O63"/>
      <c r="P63"/>
      <c r="Q63"/>
      <c r="R63" s="70"/>
      <c r="S63" s="72"/>
      <c r="T63" s="323"/>
      <c r="U63" s="323"/>
      <c r="V63" s="323"/>
      <c r="W63" s="205"/>
      <c r="X63" s="205"/>
      <c r="Y63" s="64"/>
    </row>
    <row r="64" spans="1:26" s="8" customFormat="1" x14ac:dyDescent="0.25">
      <c r="A64" s="59" t="s">
        <v>62</v>
      </c>
      <c r="B64" s="186">
        <f>SUM(G39:G61)</f>
        <v>2106867.0520000006</v>
      </c>
      <c r="C64" s="79"/>
      <c r="D64" s="433" t="s">
        <v>63</v>
      </c>
      <c r="E64" s="433"/>
      <c r="F64" s="433"/>
      <c r="G64" s="84">
        <f>B64/'Demographic Data'!$B$3</f>
        <v>210.68670520000006</v>
      </c>
      <c r="H64" s="115" t="s">
        <v>65</v>
      </c>
      <c r="I64" s="116"/>
      <c r="J64" s="117"/>
      <c r="K64" s="71">
        <f>SUMIFS($G$39:$G$61, $B$39:$B$61, "Materials", $H$39:$H$61, "Yes")</f>
        <v>32447.360000000001</v>
      </c>
      <c r="L64" s="97">
        <f>K64/$B$64</f>
        <v>1.5400762933379429E-2</v>
      </c>
      <c r="M64" s="7"/>
      <c r="N64" s="112" t="s">
        <v>255</v>
      </c>
      <c r="O64" s="176" t="s">
        <v>32</v>
      </c>
      <c r="P64" s="176"/>
      <c r="Q64" s="178" t="s">
        <v>1</v>
      </c>
      <c r="R64" s="179"/>
      <c r="S64" s="179"/>
      <c r="T64" s="180" t="s">
        <v>32</v>
      </c>
      <c r="U64" s="178" t="s">
        <v>1</v>
      </c>
      <c r="V64" s="179"/>
      <c r="W64" s="179"/>
      <c r="X64" s="175" t="s">
        <v>32</v>
      </c>
      <c r="Y64" s="177" t="s">
        <v>45</v>
      </c>
      <c r="Z64" s="55"/>
    </row>
    <row r="65" spans="1:26" s="8" customFormat="1" x14ac:dyDescent="0.25">
      <c r="A65" s="59"/>
      <c r="B65" s="74"/>
      <c r="C65" s="71"/>
      <c r="D65" s="433" t="s">
        <v>64</v>
      </c>
      <c r="E65" s="433"/>
      <c r="F65" s="433"/>
      <c r="G65" s="84">
        <f>B64/'Demographic Data'!$B$4</f>
        <v>70.228901733333359</v>
      </c>
      <c r="H65" s="115" t="s">
        <v>66</v>
      </c>
      <c r="I65" s="116"/>
      <c r="J65" s="117"/>
      <c r="K65" s="71">
        <f>SUMIFS($G$39:$G$61, $B$39:$B$61, "Transportation", $H$39:$H$61, "Yes")</f>
        <v>1216618.9020000002</v>
      </c>
      <c r="L65" s="97">
        <f>K65/$B$64</f>
        <v>0.57745404525885569</v>
      </c>
      <c r="M65" s="7"/>
      <c r="N65" s="59" t="s">
        <v>297</v>
      </c>
      <c r="O65" s="65">
        <f>SUM(T60:T62)</f>
        <v>628179.92653061217</v>
      </c>
      <c r="P65" s="71"/>
      <c r="Q65" s="433" t="s">
        <v>299</v>
      </c>
      <c r="R65" s="433"/>
      <c r="S65" s="433"/>
      <c r="T65" s="84">
        <f>O65/'Demographic Data'!$B$3</f>
        <v>62.817992653061218</v>
      </c>
      <c r="U65" s="71"/>
      <c r="V65" s="115" t="s">
        <v>294</v>
      </c>
      <c r="W65" s="116"/>
      <c r="X65" s="71">
        <f>SUMIFS($T$59:$T$62, $O$59:$O$62, "Materials", $U$59:$U$62, "Yes")</f>
        <v>65340.000000000007</v>
      </c>
      <c r="Y65" s="97">
        <f>X65/$O$65</f>
        <v>0.10401478500095926</v>
      </c>
      <c r="Z65" s="97"/>
    </row>
    <row r="66" spans="1:26" s="8" customFormat="1" x14ac:dyDescent="0.25">
      <c r="A66" s="62"/>
      <c r="B66" s="83"/>
      <c r="C66" s="82"/>
      <c r="D66" s="426" t="s">
        <v>60</v>
      </c>
      <c r="E66" s="426"/>
      <c r="F66" s="426"/>
      <c r="G66" s="132">
        <f>B64/'Demographic Data'!$B$5</f>
        <v>1.7557225433333339</v>
      </c>
      <c r="H66" s="116" t="s">
        <v>126</v>
      </c>
      <c r="I66" s="116"/>
      <c r="J66" s="117"/>
      <c r="K66" s="71">
        <f>SUMIFS($G$39:$G$61, $B$39:$B$61, "Meals/Per Diem", $H$39:$H$61, "Yes")</f>
        <v>724700.79</v>
      </c>
      <c r="L66" s="97">
        <f>K66/$B$64</f>
        <v>0.34397082118307282</v>
      </c>
      <c r="M66" s="7"/>
      <c r="N66" s="59"/>
      <c r="O66" s="86"/>
      <c r="P66" s="71"/>
      <c r="Q66" s="433" t="s">
        <v>298</v>
      </c>
      <c r="R66" s="433"/>
      <c r="S66" s="433"/>
      <c r="T66" s="84">
        <f>O65/'Demographic Data'!$B$4</f>
        <v>20.93933088435374</v>
      </c>
      <c r="U66" s="71"/>
      <c r="V66" s="116" t="s">
        <v>295</v>
      </c>
      <c r="W66" s="116"/>
      <c r="X66" s="71">
        <f>SUMIFS($T$59:$T$62, $O$59:$O$62, "Transportation", $U$59:$U$62, "Yes")</f>
        <v>346416.32653061225</v>
      </c>
      <c r="Y66" s="97">
        <f>X66/$O$65</f>
        <v>0.55146035697740625</v>
      </c>
      <c r="Z66" s="97"/>
    </row>
    <row r="67" spans="1:26" s="8" customFormat="1" x14ac:dyDescent="0.25">
      <c r="A67" s="48"/>
      <c r="B67" s="48"/>
      <c r="C67" s="48"/>
      <c r="D67" s="451"/>
      <c r="E67" s="451"/>
      <c r="F67" s="451"/>
      <c r="G67" s="193"/>
      <c r="H67" s="59" t="s">
        <v>67</v>
      </c>
      <c r="I67" s="59"/>
      <c r="J67" s="59"/>
      <c r="K67" s="71">
        <f>SUMIFS($G$39:$G$61, $B$39:$B$61, "Facilities", $H$39:$H$61, "Yes")</f>
        <v>133100.00000000006</v>
      </c>
      <c r="L67" s="97">
        <f>K67/$B$64</f>
        <v>6.3174370624691903E-2</v>
      </c>
      <c r="M67" s="284"/>
      <c r="N67" s="62"/>
      <c r="O67" s="83"/>
      <c r="P67" s="71"/>
      <c r="Q67" s="426" t="s">
        <v>300</v>
      </c>
      <c r="R67" s="426"/>
      <c r="S67" s="426"/>
      <c r="T67" s="228">
        <f>O65/'Demographic Data'!$B$5</f>
        <v>0.52348327210884349</v>
      </c>
      <c r="U67" s="324"/>
      <c r="V67" s="59" t="s">
        <v>296</v>
      </c>
      <c r="W67" s="59"/>
      <c r="X67" s="71">
        <f>SUMIFS($T$59:$T$62, $O$59:$O$62, "Meals/per diem", $U$59:$U$62, "Yes")</f>
        <v>216423.59999999998</v>
      </c>
      <c r="Y67" s="97">
        <f>X67/$O$65</f>
        <v>0.34452485802163457</v>
      </c>
      <c r="Z67" s="97"/>
    </row>
    <row r="68" spans="1:26" s="8" customFormat="1" x14ac:dyDescent="0.25">
      <c r="C68" s="48"/>
      <c r="I68" s="431"/>
      <c r="J68" s="432"/>
      <c r="K68" s="432"/>
      <c r="L68" s="299">
        <f>SUM(L64:L67)</f>
        <v>0.99999999999999978</v>
      </c>
      <c r="M68" s="285"/>
      <c r="O68" s="48"/>
      <c r="T68" s="102"/>
      <c r="U68" s="325"/>
      <c r="V68" s="59"/>
      <c r="W68" s="59"/>
      <c r="X68" s="71"/>
      <c r="Y68" s="97">
        <f>SUM(Y65:Y67)</f>
        <v>1</v>
      </c>
      <c r="Z68" s="67"/>
    </row>
    <row r="69" spans="1:26" s="8" customFormat="1" x14ac:dyDescent="0.25">
      <c r="C69" s="48"/>
      <c r="I69" s="194"/>
      <c r="L69" s="67"/>
      <c r="M69" s="285"/>
      <c r="N69" s="70"/>
    </row>
    <row r="70" spans="1:26" s="8" customFormat="1" x14ac:dyDescent="0.25">
      <c r="C70" s="48"/>
      <c r="I70" s="194"/>
      <c r="L70" s="67"/>
      <c r="M70" s="285"/>
      <c r="N70" s="70"/>
    </row>
    <row r="71" spans="1:26" s="8" customFormat="1" x14ac:dyDescent="0.25">
      <c r="A71" s="314" t="s">
        <v>244</v>
      </c>
      <c r="B71" s="10" t="s">
        <v>217</v>
      </c>
      <c r="C71" s="10">
        <v>0.1</v>
      </c>
      <c r="D71" s="10" t="s">
        <v>218</v>
      </c>
      <c r="E71" s="277">
        <v>0.9</v>
      </c>
      <c r="F71" s="10" t="s">
        <v>74</v>
      </c>
      <c r="G71" s="350">
        <f>$G$6</f>
        <v>1</v>
      </c>
      <c r="L71" s="67"/>
      <c r="M71" s="285"/>
      <c r="N71" s="70"/>
    </row>
    <row r="72" spans="1:26" s="8" customFormat="1" ht="30" x14ac:dyDescent="0.25">
      <c r="A72" s="142" t="s">
        <v>1</v>
      </c>
      <c r="B72" s="144" t="s">
        <v>0</v>
      </c>
      <c r="C72" s="143" t="s">
        <v>146</v>
      </c>
      <c r="D72" s="143" t="s">
        <v>25</v>
      </c>
      <c r="E72" s="143" t="s">
        <v>20</v>
      </c>
      <c r="F72" s="143" t="s">
        <v>21</v>
      </c>
      <c r="G72" s="143" t="s">
        <v>114</v>
      </c>
      <c r="H72" s="143" t="s">
        <v>17</v>
      </c>
      <c r="I72" s="41"/>
      <c r="J72" s="48"/>
      <c r="K72"/>
      <c r="M72" s="286"/>
      <c r="N72" s="70"/>
    </row>
    <row r="73" spans="1:26" s="8" customFormat="1" x14ac:dyDescent="0.25">
      <c r="A73" s="128" t="s">
        <v>84</v>
      </c>
      <c r="B73" s="129"/>
      <c r="C73" s="130"/>
      <c r="D73" s="129">
        <f>$G$71</f>
        <v>1</v>
      </c>
      <c r="E73" s="190">
        <v>400</v>
      </c>
      <c r="F73" s="130">
        <f>D73*E73</f>
        <v>400</v>
      </c>
      <c r="G73" s="187"/>
      <c r="H73" s="188" t="s">
        <v>18</v>
      </c>
      <c r="I73"/>
      <c r="J73"/>
      <c r="K73"/>
      <c r="M73" s="286"/>
      <c r="N73" s="70"/>
    </row>
    <row r="74" spans="1:26" s="8" customFormat="1" x14ac:dyDescent="0.25">
      <c r="A74" s="129" t="s">
        <v>19</v>
      </c>
      <c r="B74" s="129"/>
      <c r="C74" s="130"/>
      <c r="D74" s="129">
        <f>$G$71</f>
        <v>1</v>
      </c>
      <c r="E74" s="130">
        <f>'Demographic Data'!B4</f>
        <v>30000</v>
      </c>
      <c r="F74" s="130">
        <f>D74*E74</f>
        <v>30000</v>
      </c>
      <c r="G74" s="187"/>
      <c r="H74" s="188" t="s">
        <v>18</v>
      </c>
      <c r="I74" s="41"/>
      <c r="J74" s="41"/>
      <c r="K74"/>
      <c r="M74" s="286"/>
      <c r="N74" s="70"/>
    </row>
    <row r="75" spans="1:26" s="8" customFormat="1" x14ac:dyDescent="0.25">
      <c r="A75" s="50" t="s">
        <v>26</v>
      </c>
      <c r="B75" s="9" t="s">
        <v>3</v>
      </c>
      <c r="C75" s="219">
        <f>'Prices_non-Labor'!$G$12</f>
        <v>1.4520000000000002</v>
      </c>
      <c r="D75" s="226">
        <v>0.1</v>
      </c>
      <c r="E75" s="51">
        <f>SUM(E73:E74)</f>
        <v>30400</v>
      </c>
      <c r="F75" s="51">
        <f>E75*D75</f>
        <v>3040</v>
      </c>
      <c r="G75" s="189">
        <f>F75*C75</f>
        <v>4414.0800000000008</v>
      </c>
      <c r="H75" s="61" t="s">
        <v>16</v>
      </c>
      <c r="I75" s="137"/>
      <c r="J75" s="41"/>
      <c r="K75"/>
      <c r="M75" s="285"/>
      <c r="N75" s="70"/>
    </row>
    <row r="76" spans="1:26" s="8" customFormat="1" x14ac:dyDescent="0.25">
      <c r="A76" s="50" t="s">
        <v>79</v>
      </c>
      <c r="B76" s="9" t="s">
        <v>3</v>
      </c>
      <c r="C76" s="219">
        <f>'Prices_non-Labor'!$G$13</f>
        <v>1.2100000000000002</v>
      </c>
      <c r="D76" s="53">
        <v>0.1</v>
      </c>
      <c r="E76" s="51">
        <f>SUM(E73:E74)</f>
        <v>30400</v>
      </c>
      <c r="F76" s="51">
        <f>E76*D76</f>
        <v>3040</v>
      </c>
      <c r="G76" s="189">
        <f t="shared" ref="G76:G85" si="12">F76*C76</f>
        <v>3678.4000000000005</v>
      </c>
      <c r="H76" s="61" t="s">
        <v>16</v>
      </c>
      <c r="I76" s="137"/>
      <c r="J76" s="41"/>
      <c r="K76"/>
      <c r="L76"/>
      <c r="M76" s="285"/>
      <c r="N76" s="70"/>
    </row>
    <row r="77" spans="1:26" s="8" customFormat="1" x14ac:dyDescent="0.25">
      <c r="A77" s="50" t="s">
        <v>83</v>
      </c>
      <c r="B77" s="9" t="s">
        <v>3</v>
      </c>
      <c r="C77" s="219">
        <f>'Prices_non-Labor'!$G$11</f>
        <v>1.2100000000000002</v>
      </c>
      <c r="D77" s="9">
        <v>1</v>
      </c>
      <c r="E77" s="65">
        <f>$E$35</f>
        <v>400</v>
      </c>
      <c r="F77" s="51">
        <f t="shared" ref="F77:F87" si="13">D77*E77</f>
        <v>400</v>
      </c>
      <c r="G77" s="189">
        <f t="shared" si="12"/>
        <v>484.00000000000006</v>
      </c>
      <c r="H77" s="61" t="s">
        <v>16</v>
      </c>
      <c r="I77" s="41"/>
      <c r="J77" s="41"/>
      <c r="K77"/>
      <c r="L77"/>
      <c r="M77" s="285"/>
      <c r="N77" s="70"/>
    </row>
    <row r="78" spans="1:26" s="8" customFormat="1" x14ac:dyDescent="0.25">
      <c r="A78" s="9" t="s">
        <v>27</v>
      </c>
      <c r="B78" s="9" t="s">
        <v>3</v>
      </c>
      <c r="C78" s="219">
        <f>'Prices_non-Labor'!$G$11</f>
        <v>1.2100000000000002</v>
      </c>
      <c r="D78" s="195">
        <v>0.2</v>
      </c>
      <c r="E78" s="65">
        <f>$E$38</f>
        <v>30000</v>
      </c>
      <c r="F78" s="51">
        <f t="shared" si="13"/>
        <v>6000</v>
      </c>
      <c r="G78" s="189">
        <f t="shared" si="12"/>
        <v>7260.0000000000009</v>
      </c>
      <c r="H78" s="61" t="s">
        <v>16</v>
      </c>
      <c r="I78" s="41"/>
      <c r="J78" s="41"/>
      <c r="K78"/>
      <c r="L78"/>
      <c r="M78" s="285"/>
      <c r="N78" s="70"/>
    </row>
    <row r="79" spans="1:26" s="8" customFormat="1" x14ac:dyDescent="0.25">
      <c r="A79" s="50" t="s">
        <v>201</v>
      </c>
      <c r="B79" s="9" t="s">
        <v>41</v>
      </c>
      <c r="C79" s="218">
        <f>'Prices_non-Labor'!$G$30</f>
        <v>14.322150000000002</v>
      </c>
      <c r="D79" s="52">
        <f>$G$71</f>
        <v>1</v>
      </c>
      <c r="E79" s="105">
        <f>E73*E71</f>
        <v>360</v>
      </c>
      <c r="F79" s="133">
        <f t="shared" si="13"/>
        <v>360</v>
      </c>
      <c r="G79" s="189">
        <f t="shared" si="12"/>
        <v>5155.9740000000011</v>
      </c>
      <c r="H79" s="61" t="s">
        <v>16</v>
      </c>
      <c r="I79" s="41"/>
      <c r="J79" s="41"/>
      <c r="K79"/>
      <c r="L79"/>
      <c r="M79" s="285"/>
      <c r="N79" s="70"/>
    </row>
    <row r="80" spans="1:26" s="8" customFormat="1" x14ac:dyDescent="0.25">
      <c r="A80" s="50" t="s">
        <v>203</v>
      </c>
      <c r="B80" s="9" t="s">
        <v>41</v>
      </c>
      <c r="C80" s="185">
        <f>'Prices_non-Labor'!$G$36</f>
        <v>36.070600000000006</v>
      </c>
      <c r="D80" s="9">
        <v>1</v>
      </c>
      <c r="E80" s="65">
        <f>$E$35*C71</f>
        <v>40</v>
      </c>
      <c r="F80" s="51">
        <f t="shared" si="13"/>
        <v>40</v>
      </c>
      <c r="G80" s="189">
        <f t="shared" si="12"/>
        <v>1442.8240000000003</v>
      </c>
      <c r="H80" s="61" t="s">
        <v>16</v>
      </c>
      <c r="I80" s="41"/>
      <c r="J80" s="41"/>
      <c r="K80"/>
      <c r="L80"/>
      <c r="M80" s="285"/>
      <c r="N80" s="70"/>
    </row>
    <row r="81" spans="1:14" s="8" customFormat="1" x14ac:dyDescent="0.25">
      <c r="A81" s="9" t="s">
        <v>200</v>
      </c>
      <c r="B81" s="9" t="s">
        <v>41</v>
      </c>
      <c r="C81" s="218">
        <f>'Prices_non-Labor'!$G$30</f>
        <v>14.322150000000002</v>
      </c>
      <c r="D81" s="52">
        <f>$G$71</f>
        <v>1</v>
      </c>
      <c r="E81" s="65">
        <f>$E$38*E71</f>
        <v>27000</v>
      </c>
      <c r="F81" s="51">
        <f t="shared" si="13"/>
        <v>27000</v>
      </c>
      <c r="G81" s="189">
        <f t="shared" si="12"/>
        <v>386698.05000000005</v>
      </c>
      <c r="H81" s="61" t="s">
        <v>16</v>
      </c>
      <c r="I81" s="41"/>
      <c r="J81" s="41"/>
      <c r="K81"/>
      <c r="L81"/>
      <c r="M81" s="285"/>
      <c r="N81" s="70"/>
    </row>
    <row r="82" spans="1:14" s="8" customFormat="1" x14ac:dyDescent="0.25">
      <c r="A82" s="9" t="s">
        <v>206</v>
      </c>
      <c r="B82" s="9" t="s">
        <v>41</v>
      </c>
      <c r="C82" s="185">
        <f>'Prices_non-Labor'!$G$36</f>
        <v>36.070600000000006</v>
      </c>
      <c r="D82" s="9">
        <v>1</v>
      </c>
      <c r="E82" s="45">
        <f>$E$38*C71</f>
        <v>3000</v>
      </c>
      <c r="F82" s="51">
        <f t="shared" si="13"/>
        <v>3000</v>
      </c>
      <c r="G82" s="189">
        <f t="shared" si="12"/>
        <v>108211.80000000002</v>
      </c>
      <c r="H82" s="61" t="s">
        <v>16</v>
      </c>
      <c r="I82" s="54" t="s">
        <v>1</v>
      </c>
      <c r="J82" s="54"/>
      <c r="K82"/>
      <c r="L82"/>
      <c r="M82" s="285"/>
      <c r="N82" s="70"/>
    </row>
    <row r="83" spans="1:14" s="8" customFormat="1" x14ac:dyDescent="0.25">
      <c r="A83" s="50" t="s">
        <v>201</v>
      </c>
      <c r="B83" s="9" t="s">
        <v>109</v>
      </c>
      <c r="C83" s="76">
        <f>'Prices_non-Labor'!$G$29</f>
        <v>6.8958500000000003</v>
      </c>
      <c r="D83" s="52">
        <f>$G$71</f>
        <v>1</v>
      </c>
      <c r="E83" s="105">
        <f>$E$35*E71</f>
        <v>360</v>
      </c>
      <c r="F83" s="133">
        <f t="shared" si="13"/>
        <v>360</v>
      </c>
      <c r="G83" s="189">
        <f t="shared" si="12"/>
        <v>2482.5060000000003</v>
      </c>
      <c r="H83" s="61" t="s">
        <v>16</v>
      </c>
      <c r="I83" s="54"/>
      <c r="J83" s="54"/>
      <c r="K83"/>
      <c r="L83"/>
      <c r="M83" s="285"/>
      <c r="N83" s="70"/>
    </row>
    <row r="84" spans="1:14" s="8" customFormat="1" x14ac:dyDescent="0.25">
      <c r="A84" s="50" t="s">
        <v>203</v>
      </c>
      <c r="B84" s="9" t="s">
        <v>109</v>
      </c>
      <c r="C84" s="185">
        <f>'Prices_non-Labor'!$G$35</f>
        <v>25.461600000000001</v>
      </c>
      <c r="D84" s="52">
        <f>$G$71</f>
        <v>1</v>
      </c>
      <c r="E84" s="65">
        <f>$E$35*C71</f>
        <v>40</v>
      </c>
      <c r="F84" s="51">
        <f t="shared" si="13"/>
        <v>40</v>
      </c>
      <c r="G84" s="189">
        <f t="shared" si="12"/>
        <v>1018.4640000000001</v>
      </c>
      <c r="H84" s="61" t="s">
        <v>16</v>
      </c>
      <c r="I84" s="54"/>
      <c r="J84" s="54"/>
      <c r="K84"/>
      <c r="L84"/>
      <c r="M84" s="285"/>
      <c r="N84" s="70"/>
    </row>
    <row r="85" spans="1:14" s="8" customFormat="1" x14ac:dyDescent="0.25">
      <c r="A85" s="9" t="s">
        <v>202</v>
      </c>
      <c r="B85" s="9" t="s">
        <v>109</v>
      </c>
      <c r="C85" s="76">
        <f>'Prices_non-Labor'!$G$29</f>
        <v>6.8958500000000003</v>
      </c>
      <c r="D85" s="52">
        <f>$G$71</f>
        <v>1</v>
      </c>
      <c r="E85" s="65">
        <f>$E$38*E71</f>
        <v>27000</v>
      </c>
      <c r="F85" s="51">
        <f t="shared" si="13"/>
        <v>27000</v>
      </c>
      <c r="G85" s="189">
        <f t="shared" si="12"/>
        <v>186187.95</v>
      </c>
      <c r="H85" s="61" t="s">
        <v>16</v>
      </c>
      <c r="I85" s="135"/>
      <c r="J85" s="69"/>
      <c r="M85" s="285"/>
      <c r="N85" s="70"/>
    </row>
    <row r="86" spans="1:14" s="8" customFormat="1" x14ac:dyDescent="0.25">
      <c r="A86" s="9" t="s">
        <v>207</v>
      </c>
      <c r="B86" s="9" t="s">
        <v>109</v>
      </c>
      <c r="C86" s="185">
        <f>'Prices_non-Labor'!$G$35</f>
        <v>25.461600000000001</v>
      </c>
      <c r="D86" s="52">
        <f>$G$71</f>
        <v>1</v>
      </c>
      <c r="E86" s="45">
        <f>$E$38*C71</f>
        <v>3000</v>
      </c>
      <c r="F86" s="51">
        <f t="shared" si="13"/>
        <v>3000</v>
      </c>
      <c r="G86" s="189">
        <f>F86*C86</f>
        <v>76384.800000000003</v>
      </c>
      <c r="H86" s="61" t="s">
        <v>16</v>
      </c>
      <c r="I86" s="131"/>
      <c r="J86" s="131"/>
      <c r="M86" s="285"/>
      <c r="N86" s="70"/>
    </row>
    <row r="87" spans="1:14" s="8" customFormat="1" x14ac:dyDescent="0.25">
      <c r="A87" s="9" t="s">
        <v>39</v>
      </c>
      <c r="B87" s="9" t="s">
        <v>15</v>
      </c>
      <c r="C87" s="185">
        <f>'Prices_non-Labor'!$G$24</f>
        <v>133.10000000000005</v>
      </c>
      <c r="D87" s="52">
        <f>$G$71</f>
        <v>1</v>
      </c>
      <c r="E87" s="59">
        <v>700</v>
      </c>
      <c r="F87" s="65">
        <f t="shared" si="13"/>
        <v>700</v>
      </c>
      <c r="G87" s="189">
        <f>F87*C87</f>
        <v>93170.000000000029</v>
      </c>
      <c r="H87" s="61" t="s">
        <v>16</v>
      </c>
      <c r="I87" s="131"/>
      <c r="J87" s="131"/>
      <c r="M87" s="285"/>
      <c r="N87" s="70"/>
    </row>
    <row r="88" spans="1:14" s="8" customFormat="1" x14ac:dyDescent="0.25">
      <c r="A88"/>
      <c r="B88"/>
      <c r="C88"/>
      <c r="D88" s="103"/>
      <c r="E88" s="70"/>
      <c r="F88" s="126"/>
      <c r="G88"/>
      <c r="I88" s="72"/>
      <c r="J88" s="72"/>
      <c r="K88" s="127"/>
      <c r="L88" s="64"/>
      <c r="M88" s="285"/>
      <c r="N88" s="70"/>
    </row>
    <row r="89" spans="1:14" s="8" customFormat="1" x14ac:dyDescent="0.25">
      <c r="A89" s="178" t="s">
        <v>1</v>
      </c>
      <c r="B89" s="176" t="s">
        <v>32</v>
      </c>
      <c r="C89" s="176"/>
      <c r="D89" s="178" t="s">
        <v>1</v>
      </c>
      <c r="E89" s="179"/>
      <c r="F89" s="179"/>
      <c r="G89" s="180" t="s">
        <v>32</v>
      </c>
      <c r="H89" s="178" t="s">
        <v>1</v>
      </c>
      <c r="I89" s="179"/>
      <c r="J89" s="179"/>
      <c r="K89" s="175" t="s">
        <v>32</v>
      </c>
      <c r="L89" s="177" t="s">
        <v>45</v>
      </c>
      <c r="M89" s="285"/>
      <c r="N89" s="70"/>
    </row>
    <row r="90" spans="1:14" s="8" customFormat="1" x14ac:dyDescent="0.25">
      <c r="A90" s="59" t="s">
        <v>62</v>
      </c>
      <c r="B90" s="186">
        <f>SUM(G75:G87)</f>
        <v>876588.848</v>
      </c>
      <c r="C90" s="79"/>
      <c r="D90" s="433" t="s">
        <v>63</v>
      </c>
      <c r="E90" s="433"/>
      <c r="F90" s="433"/>
      <c r="G90" s="84">
        <f>B90/'Demographic Data'!$B$3</f>
        <v>87.658884799999996</v>
      </c>
      <c r="H90" s="115" t="s">
        <v>65</v>
      </c>
      <c r="I90" s="116"/>
      <c r="J90" s="117"/>
      <c r="K90" s="71">
        <f>SUMIFS($G$75:$G$87, $B$75:$B$87, "Materials", $H$75:$H$87, "Yes")</f>
        <v>15836.480000000003</v>
      </c>
      <c r="L90" s="97">
        <f>K90/$B$90</f>
        <v>1.8066029514443471E-2</v>
      </c>
      <c r="M90" s="285"/>
      <c r="N90" s="70"/>
    </row>
    <row r="91" spans="1:14" s="8" customFormat="1" x14ac:dyDescent="0.25">
      <c r="A91" s="59"/>
      <c r="B91" s="74"/>
      <c r="C91" s="71"/>
      <c r="D91" s="433" t="s">
        <v>64</v>
      </c>
      <c r="E91" s="433"/>
      <c r="F91" s="433"/>
      <c r="G91" s="84">
        <f>B90/'Demographic Data'!$B$4</f>
        <v>29.219628266666668</v>
      </c>
      <c r="H91" s="115" t="s">
        <v>66</v>
      </c>
      <c r="I91" s="116"/>
      <c r="J91" s="117"/>
      <c r="K91" s="71">
        <f>SUMIFS($G$75:$G$87, $B$75:$B$87, "Transportation", $H$75:$H$87, "Yes")</f>
        <v>501508.64800000004</v>
      </c>
      <c r="L91" s="97">
        <f>K91/$B$90</f>
        <v>0.57211388114761874</v>
      </c>
      <c r="M91" s="283"/>
      <c r="N91" s="149"/>
    </row>
    <row r="92" spans="1:14" x14ac:dyDescent="0.25">
      <c r="A92" s="62"/>
      <c r="B92" s="83"/>
      <c r="C92" s="82"/>
      <c r="D92" s="426" t="s">
        <v>60</v>
      </c>
      <c r="E92" s="426"/>
      <c r="F92" s="426"/>
      <c r="G92" s="132">
        <f>B90/'Demographic Data'!$B$5</f>
        <v>0.73049070666666671</v>
      </c>
      <c r="H92" s="116" t="s">
        <v>126</v>
      </c>
      <c r="I92" s="116"/>
      <c r="J92" s="117"/>
      <c r="K92" s="71">
        <f>SUMIFS($G$75:$G$87, $B$75:$B$87, "Meals/Per Diem", $H$75:$H$87, "Yes")</f>
        <v>266073.72000000003</v>
      </c>
      <c r="L92" s="97">
        <f>K92/$B$90</f>
        <v>0.30353308806867235</v>
      </c>
      <c r="M92" s="285"/>
      <c r="N92" s="69"/>
    </row>
    <row r="93" spans="1:14" x14ac:dyDescent="0.25">
      <c r="A93" s="48"/>
      <c r="B93" s="48"/>
      <c r="C93" s="48"/>
      <c r="D93" s="451"/>
      <c r="E93" s="451"/>
      <c r="F93" s="451"/>
      <c r="G93" s="193"/>
      <c r="H93" s="59" t="s">
        <v>67</v>
      </c>
      <c r="I93" s="59"/>
      <c r="J93" s="59"/>
      <c r="K93" s="71">
        <f>SUMIFS($G$75:$G$87, $B$75:$B$87, "Facilities", $H$75:$H$87, "Yes")</f>
        <v>93170.000000000029</v>
      </c>
      <c r="L93" s="97">
        <f>K93/$B$90</f>
        <v>0.10628700126926556</v>
      </c>
      <c r="M93" s="285"/>
      <c r="N93" s="69"/>
    </row>
    <row r="94" spans="1:14" x14ac:dyDescent="0.25">
      <c r="A94" s="48"/>
      <c r="B94" s="48"/>
      <c r="C94" s="48"/>
      <c r="D94" s="48"/>
      <c r="E94" s="48"/>
      <c r="F94" s="48"/>
      <c r="G94" s="193"/>
      <c r="H94" s="8"/>
      <c r="I94" s="8"/>
      <c r="J94" s="8"/>
      <c r="K94" s="67"/>
      <c r="L94" s="69">
        <f>SUM(L90:L93)</f>
        <v>1.0000000000000002</v>
      </c>
      <c r="M94" s="285"/>
      <c r="N94" s="69"/>
    </row>
    <row r="95" spans="1:14" x14ac:dyDescent="0.25">
      <c r="A95" s="318" t="s">
        <v>245</v>
      </c>
      <c r="B95" s="48"/>
      <c r="C95" s="48"/>
      <c r="D95" s="48"/>
      <c r="E95" s="48"/>
      <c r="F95" s="48"/>
      <c r="G95" s="193"/>
      <c r="H95" s="8"/>
      <c r="I95" s="8"/>
      <c r="J95" s="8"/>
      <c r="K95" s="67"/>
      <c r="L95" s="69"/>
      <c r="M95" s="285"/>
      <c r="N95" s="69"/>
    </row>
    <row r="96" spans="1:14" ht="30" x14ac:dyDescent="0.25">
      <c r="A96" s="142" t="s">
        <v>1</v>
      </c>
      <c r="B96" s="144" t="s">
        <v>0</v>
      </c>
      <c r="C96" s="143" t="s">
        <v>146</v>
      </c>
      <c r="D96" s="143" t="s">
        <v>25</v>
      </c>
      <c r="E96" s="143" t="s">
        <v>20</v>
      </c>
      <c r="F96" s="143" t="s">
        <v>21</v>
      </c>
      <c r="G96" s="143" t="s">
        <v>114</v>
      </c>
      <c r="H96" s="143" t="s">
        <v>17</v>
      </c>
      <c r="I96" s="8"/>
      <c r="J96" s="8"/>
      <c r="K96" s="67"/>
      <c r="L96" s="69"/>
      <c r="M96" s="285"/>
      <c r="N96" s="69"/>
    </row>
    <row r="97" spans="1:17" x14ac:dyDescent="0.25">
      <c r="A97" s="9" t="s">
        <v>127</v>
      </c>
      <c r="B97" s="9" t="s">
        <v>3</v>
      </c>
      <c r="C97" s="219">
        <f>'Prices_non-Labor'!$G$12</f>
        <v>1.4520000000000002</v>
      </c>
      <c r="D97" s="52">
        <v>1</v>
      </c>
      <c r="E97" s="65">
        <f>'Demographic Data'!$B$4</f>
        <v>30000</v>
      </c>
      <c r="F97" s="51">
        <f>E97*D97*$K$7</f>
        <v>3000</v>
      </c>
      <c r="G97" s="196">
        <f>SUM(C97*F97)</f>
        <v>4356.0000000000009</v>
      </c>
      <c r="H97" s="61" t="s">
        <v>16</v>
      </c>
      <c r="I97" s="194"/>
      <c r="J97" s="70"/>
      <c r="K97" s="198"/>
      <c r="L97" s="64"/>
      <c r="M97" s="285"/>
      <c r="N97" s="69"/>
    </row>
    <row r="98" spans="1:17" x14ac:dyDescent="0.25">
      <c r="A98" s="9" t="s">
        <v>72</v>
      </c>
      <c r="B98" s="9" t="s">
        <v>3</v>
      </c>
      <c r="C98" s="219">
        <f>'Prices_non-Labor'!$G$13</f>
        <v>1.2100000000000002</v>
      </c>
      <c r="D98" s="90">
        <v>1</v>
      </c>
      <c r="E98" s="65">
        <f>'Demographic Data'!$B$5</f>
        <v>1200000</v>
      </c>
      <c r="F98" s="51">
        <f>E98*D98*$K$7</f>
        <v>120000</v>
      </c>
      <c r="G98" s="196">
        <f>SUM(C98*F98)</f>
        <v>145200.00000000003</v>
      </c>
      <c r="H98" s="61" t="s">
        <v>16</v>
      </c>
      <c r="I98" s="194"/>
      <c r="J98" s="70"/>
      <c r="K98" s="198"/>
      <c r="L98" s="64"/>
      <c r="M98" s="285"/>
      <c r="N98" s="69"/>
    </row>
    <row r="99" spans="1:17" x14ac:dyDescent="0.25">
      <c r="A99" s="9"/>
      <c r="B99" s="9"/>
      <c r="C99" s="43"/>
      <c r="D99" s="90"/>
      <c r="E99" s="65"/>
      <c r="F99" s="51"/>
      <c r="G99" s="196"/>
      <c r="H99" s="61"/>
      <c r="I99" s="205"/>
      <c r="J99" s="70"/>
      <c r="K99" s="198"/>
      <c r="L99" s="64"/>
      <c r="M99" s="285"/>
      <c r="N99" s="69"/>
    </row>
    <row r="100" spans="1:17" x14ac:dyDescent="0.25">
      <c r="A100" s="8"/>
      <c r="B100" s="8"/>
      <c r="C100" s="48"/>
      <c r="D100" s="8"/>
      <c r="E100" s="8"/>
      <c r="F100" s="8"/>
      <c r="G100" s="8"/>
      <c r="H100" s="8"/>
      <c r="I100" s="8"/>
      <c r="J100" s="8"/>
      <c r="K100" s="8"/>
      <c r="L100" s="66"/>
      <c r="M100" s="285"/>
      <c r="N100" s="69"/>
    </row>
    <row r="101" spans="1:17" x14ac:dyDescent="0.25">
      <c r="A101" s="175" t="s">
        <v>1</v>
      </c>
      <c r="B101" s="176" t="s">
        <v>32</v>
      </c>
      <c r="C101" s="176"/>
      <c r="D101" s="175" t="s">
        <v>1</v>
      </c>
      <c r="E101" s="175"/>
      <c r="F101" s="175"/>
      <c r="G101" s="176" t="s">
        <v>32</v>
      </c>
      <c r="H101" s="68"/>
      <c r="I101" s="49"/>
      <c r="J101" s="49"/>
      <c r="L101" s="54"/>
      <c r="M101" s="286"/>
    </row>
    <row r="102" spans="1:17" x14ac:dyDescent="0.25">
      <c r="A102" s="59" t="s">
        <v>75</v>
      </c>
      <c r="B102" s="65">
        <f>SUM(G97:G99)</f>
        <v>149556.00000000003</v>
      </c>
      <c r="C102" s="79"/>
      <c r="D102" s="433" t="s">
        <v>80</v>
      </c>
      <c r="E102" s="433"/>
      <c r="F102" s="433"/>
      <c r="G102" s="84">
        <f>B102/'Demographic Data'!$B$3</f>
        <v>14.955600000000002</v>
      </c>
      <c r="H102" s="69"/>
      <c r="I102" s="8"/>
      <c r="J102" s="8"/>
      <c r="K102" s="4"/>
      <c r="L102" s="55"/>
      <c r="M102" s="287"/>
      <c r="N102" s="8"/>
      <c r="O102" s="8"/>
      <c r="P102" s="8"/>
    </row>
    <row r="103" spans="1:17" x14ac:dyDescent="0.25">
      <c r="A103" s="59"/>
      <c r="B103" s="86"/>
      <c r="C103" s="79"/>
      <c r="D103" s="433" t="s">
        <v>81</v>
      </c>
      <c r="E103" s="433"/>
      <c r="F103" s="433"/>
      <c r="G103" s="84">
        <f>B102/'Demographic Data'!$B$4</f>
        <v>4.9852000000000007</v>
      </c>
      <c r="H103" s="69" t="s">
        <v>1</v>
      </c>
      <c r="I103" s="8"/>
      <c r="J103" s="8"/>
      <c r="L103" s="135"/>
      <c r="M103" s="284"/>
      <c r="N103" s="8"/>
      <c r="O103" s="8"/>
      <c r="P103" s="8"/>
    </row>
    <row r="104" spans="1:17" x14ac:dyDescent="0.25">
      <c r="A104" s="62"/>
      <c r="B104" s="83"/>
      <c r="C104" s="79"/>
      <c r="D104" s="426" t="s">
        <v>82</v>
      </c>
      <c r="E104" s="426"/>
      <c r="F104" s="426"/>
      <c r="G104" s="267">
        <f>B102/'Demographic Data'!$B$5</f>
        <v>0.12463000000000002</v>
      </c>
      <c r="H104" s="145"/>
      <c r="I104" s="8"/>
      <c r="J104" s="8"/>
      <c r="L104" s="135"/>
      <c r="M104" s="284"/>
      <c r="N104" s="8"/>
      <c r="O104" s="8"/>
      <c r="P104" s="8"/>
    </row>
    <row r="105" spans="1:17" x14ac:dyDescent="0.25">
      <c r="A105" s="59"/>
      <c r="B105" s="83"/>
      <c r="C105" s="59"/>
      <c r="D105" s="437" t="s">
        <v>185</v>
      </c>
      <c r="E105" s="437"/>
      <c r="F105" s="437"/>
      <c r="G105" s="268">
        <f>SUM(G98)/'Demographic Data'!B5</f>
        <v>0.12100000000000002</v>
      </c>
      <c r="H105" s="199"/>
      <c r="I105" s="69"/>
      <c r="J105" s="8"/>
      <c r="K105" s="8"/>
      <c r="M105" s="288"/>
      <c r="N105" s="69"/>
      <c r="O105" s="8"/>
      <c r="P105" s="8"/>
      <c r="Q105" s="8"/>
    </row>
    <row r="106" spans="1:17" x14ac:dyDescent="0.25">
      <c r="I106" s="69"/>
      <c r="L106" s="55"/>
      <c r="M106" s="288"/>
      <c r="N106" s="69"/>
      <c r="O106" s="8"/>
      <c r="P106" s="8"/>
      <c r="Q106" s="8"/>
    </row>
    <row r="107" spans="1:17" x14ac:dyDescent="0.25">
      <c r="A107" s="381" t="s">
        <v>324</v>
      </c>
      <c r="B107" s="55"/>
      <c r="C107" s="55"/>
      <c r="D107" s="56"/>
      <c r="E107" s="56"/>
      <c r="F107" s="56"/>
      <c r="G107" s="56"/>
      <c r="H107" s="56"/>
      <c r="I107" s="56"/>
      <c r="J107" s="56"/>
      <c r="K107" s="56"/>
      <c r="L107" s="56"/>
      <c r="M107" s="288"/>
      <c r="N107" s="69"/>
      <c r="O107" s="8"/>
      <c r="P107" s="8"/>
      <c r="Q107" s="8"/>
    </row>
    <row r="108" spans="1:17" s="8" customFormat="1" x14ac:dyDescent="0.25">
      <c r="A108" s="274" t="s">
        <v>236</v>
      </c>
      <c r="B108" s="74">
        <f>B8</f>
        <v>4105441.7745306129</v>
      </c>
      <c r="C108" s="55"/>
      <c r="D108" s="56"/>
      <c r="E108" s="56"/>
      <c r="F108" s="56"/>
      <c r="G108" s="56"/>
      <c r="H108" s="56"/>
      <c r="I108" s="56"/>
      <c r="J108" s="56"/>
      <c r="K108" s="56"/>
      <c r="L108" s="56"/>
      <c r="M108" s="288"/>
      <c r="N108" s="69"/>
    </row>
    <row r="109" spans="1:17" s="8" customFormat="1" x14ac:dyDescent="0.25">
      <c r="A109" s="59" t="s">
        <v>3</v>
      </c>
      <c r="B109" s="74">
        <f>K25+K64+K90+B102+X25+X52+X65</f>
        <v>268039.20000000007</v>
      </c>
      <c r="D109" s="124"/>
      <c r="E109" s="163"/>
      <c r="F109" s="102"/>
      <c r="G109" s="197"/>
      <c r="H109" s="197"/>
      <c r="I109" s="194"/>
      <c r="J109" s="70"/>
      <c r="K109" s="198"/>
      <c r="L109" s="103"/>
      <c r="M109" s="288"/>
      <c r="N109" s="69"/>
    </row>
    <row r="110" spans="1:17" s="8" customFormat="1" x14ac:dyDescent="0.25">
      <c r="A110" s="59" t="s">
        <v>327</v>
      </c>
      <c r="B110" s="386">
        <f xml:space="preserve"> (B109/B108)</f>
        <v>6.5288759339583072E-2</v>
      </c>
      <c r="D110" s="163"/>
      <c r="E110" s="163"/>
      <c r="F110" s="102"/>
      <c r="G110" s="197"/>
      <c r="H110" s="197"/>
      <c r="I110" s="194"/>
      <c r="J110" s="70"/>
      <c r="K110" s="198"/>
      <c r="L110" s="103"/>
      <c r="M110" s="288"/>
      <c r="N110" s="69"/>
    </row>
    <row r="111" spans="1:17" s="8" customFormat="1" x14ac:dyDescent="0.25">
      <c r="A111" s="59" t="s">
        <v>109</v>
      </c>
      <c r="B111" s="387">
        <f>SUM(K27+K66+K92+X27+X54+X67)</f>
        <v>1286733.7829999998</v>
      </c>
      <c r="D111" s="163"/>
      <c r="E111" s="163"/>
      <c r="F111" s="102"/>
      <c r="G111" s="70"/>
      <c r="H111" s="194"/>
      <c r="I111" s="194"/>
      <c r="J111" s="70"/>
      <c r="K111" s="198"/>
      <c r="L111" s="103"/>
      <c r="M111" s="288"/>
      <c r="N111" s="69"/>
    </row>
    <row r="112" spans="1:17" s="8" customFormat="1" x14ac:dyDescent="0.25">
      <c r="A112" s="59" t="s">
        <v>328</v>
      </c>
      <c r="B112" s="386">
        <f xml:space="preserve"> (B111/$B$108)</f>
        <v>0.31342151555592718</v>
      </c>
      <c r="E112" s="163"/>
      <c r="F112" s="102"/>
      <c r="H112" s="70"/>
      <c r="I112" s="194"/>
      <c r="J112" s="70"/>
      <c r="K112" s="198"/>
      <c r="L112" s="103"/>
      <c r="M112" s="288"/>
      <c r="N112" s="69"/>
    </row>
    <row r="113" spans="1:22" s="8" customFormat="1" x14ac:dyDescent="0.25">
      <c r="A113" s="59" t="s">
        <v>41</v>
      </c>
      <c r="B113" s="74">
        <f>SUM(K26+K65+K91+X26+X53+X66)</f>
        <v>2154030.7915306124</v>
      </c>
      <c r="L113" s="67"/>
      <c r="M113" s="288"/>
      <c r="N113" s="69"/>
    </row>
    <row r="114" spans="1:22" s="8" customFormat="1" x14ac:dyDescent="0.25">
      <c r="A114" s="59" t="s">
        <v>329</v>
      </c>
      <c r="B114" s="386">
        <f xml:space="preserve"> (B113/$B$108)</f>
        <v>0.52467697992791262</v>
      </c>
      <c r="D114" s="49"/>
      <c r="E114" s="49"/>
      <c r="F114" s="49"/>
      <c r="G114" s="55"/>
      <c r="H114" s="55"/>
      <c r="I114" s="68"/>
      <c r="J114" s="49"/>
      <c r="K114" s="49"/>
      <c r="M114" s="288"/>
      <c r="N114" s="69"/>
    </row>
    <row r="115" spans="1:22" s="8" customFormat="1" x14ac:dyDescent="0.25">
      <c r="A115" s="59" t="s">
        <v>15</v>
      </c>
      <c r="B115" s="387">
        <f>SUM(K28+K67+K93+X28+X55)</f>
        <v>396638.00000000012</v>
      </c>
      <c r="D115" s="432"/>
      <c r="E115" s="432"/>
      <c r="F115" s="432"/>
      <c r="G115" s="125"/>
      <c r="H115" s="135"/>
      <c r="I115" s="69"/>
      <c r="L115" s="147"/>
      <c r="M115" s="288"/>
      <c r="N115" s="69"/>
    </row>
    <row r="116" spans="1:22" s="8" customFormat="1" x14ac:dyDescent="0.25">
      <c r="A116" s="59" t="s">
        <v>330</v>
      </c>
      <c r="B116" s="386">
        <f xml:space="preserve"> (B115/$B$108)</f>
        <v>9.6612745176576989E-2</v>
      </c>
      <c r="C116" s="194">
        <f>SUM(B109+B111+B113+B115)</f>
        <v>4105441.7745306124</v>
      </c>
      <c r="D116" s="432"/>
      <c r="E116" s="432"/>
      <c r="F116" s="432"/>
      <c r="G116" s="125"/>
      <c r="H116" s="199"/>
      <c r="I116" s="69"/>
      <c r="M116" s="288"/>
      <c r="N116" s="69"/>
    </row>
    <row r="117" spans="1:22" s="8" customFormat="1" x14ac:dyDescent="0.25">
      <c r="A117" s="59"/>
      <c r="B117" s="74"/>
      <c r="C117" s="388">
        <f>SUM(B110+B112+B114+B116)</f>
        <v>0.99999999999999989</v>
      </c>
      <c r="D117" s="451"/>
      <c r="E117" s="451"/>
      <c r="F117" s="451"/>
      <c r="G117" s="70"/>
      <c r="H117" s="199"/>
      <c r="I117" s="145"/>
      <c r="M117" s="288"/>
      <c r="N117" s="69"/>
    </row>
    <row r="118" spans="1:22" s="8" customFormat="1" x14ac:dyDescent="0.25">
      <c r="A118" s="75"/>
      <c r="B118" s="273"/>
      <c r="C118" s="276" t="s">
        <v>1</v>
      </c>
      <c r="D118" s="56"/>
      <c r="E118" s="56"/>
      <c r="F118" s="56"/>
      <c r="G118" s="56"/>
      <c r="H118" s="203"/>
      <c r="I118" s="204"/>
      <c r="J118" s="56"/>
      <c r="K118" s="56"/>
      <c r="L118" s="56"/>
      <c r="M118" s="288"/>
      <c r="N118" s="69"/>
    </row>
    <row r="119" spans="1:22" x14ac:dyDescent="0.25">
      <c r="A119" s="8"/>
      <c r="B119" s="8"/>
      <c r="C119" s="8"/>
      <c r="D119" s="70"/>
      <c r="E119" s="70"/>
      <c r="F119" s="70"/>
      <c r="G119" s="124"/>
      <c r="H119" s="70"/>
      <c r="I119" s="70"/>
      <c r="J119" s="70"/>
      <c r="K119" s="70"/>
      <c r="L119" s="103"/>
      <c r="M119" s="286"/>
      <c r="N119" s="54"/>
    </row>
    <row r="120" spans="1:22" x14ac:dyDescent="0.25">
      <c r="A120" s="8"/>
      <c r="B120" s="8"/>
      <c r="C120" s="8"/>
      <c r="D120" s="8"/>
      <c r="E120" s="8"/>
      <c r="I120" s="432"/>
      <c r="J120" s="432"/>
      <c r="K120" s="432"/>
      <c r="L120" s="67"/>
      <c r="M120" s="282"/>
      <c r="N120" s="69"/>
    </row>
    <row r="121" spans="1:22" x14ac:dyDescent="0.25">
      <c r="A121" s="8"/>
      <c r="B121" s="8"/>
      <c r="C121" s="8"/>
      <c r="D121" s="8"/>
      <c r="E121" s="8"/>
      <c r="M121" s="282"/>
      <c r="N121" s="69"/>
    </row>
    <row r="122" spans="1:22" x14ac:dyDescent="0.25">
      <c r="A122" s="49"/>
      <c r="B122" s="55"/>
      <c r="C122" s="55"/>
      <c r="D122" s="8"/>
      <c r="E122" s="8"/>
      <c r="G122" s="80"/>
      <c r="M122" s="282"/>
      <c r="N122" s="69"/>
    </row>
    <row r="123" spans="1:22" x14ac:dyDescent="0.25">
      <c r="A123" s="8"/>
      <c r="B123" s="8"/>
      <c r="C123" s="49"/>
      <c r="D123" s="8"/>
      <c r="E123" s="206"/>
      <c r="G123" s="80"/>
      <c r="N123" s="8"/>
    </row>
    <row r="124" spans="1:22" x14ac:dyDescent="0.25">
      <c r="A124" s="49"/>
      <c r="B124" s="194"/>
      <c r="C124" s="135"/>
      <c r="D124" s="8"/>
      <c r="E124" s="8"/>
      <c r="G124" s="80"/>
      <c r="M124" s="289"/>
      <c r="N124" s="56"/>
      <c r="O124" s="5"/>
      <c r="P124" s="5"/>
      <c r="Q124" s="5"/>
      <c r="R124" s="5"/>
      <c r="S124" s="4"/>
      <c r="T124" s="5"/>
      <c r="U124" s="5"/>
      <c r="V124" s="5"/>
    </row>
    <row r="125" spans="1:22" x14ac:dyDescent="0.25">
      <c r="A125" s="49"/>
      <c r="B125" s="194"/>
      <c r="C125" s="135"/>
      <c r="D125" s="8"/>
      <c r="E125" s="8"/>
      <c r="N125" s="8"/>
      <c r="T125" s="42"/>
    </row>
    <row r="126" spans="1:22" x14ac:dyDescent="0.25">
      <c r="A126" s="49"/>
      <c r="B126" s="194"/>
      <c r="C126" s="49"/>
      <c r="D126" s="8"/>
      <c r="E126" s="8"/>
      <c r="N126" s="8"/>
    </row>
    <row r="127" spans="1:22" x14ac:dyDescent="0.25">
      <c r="A127" s="49"/>
      <c r="B127" s="194"/>
      <c r="C127" s="135"/>
      <c r="D127" s="8"/>
      <c r="E127" s="8"/>
      <c r="N127" s="8"/>
    </row>
    <row r="128" spans="1:22" x14ac:dyDescent="0.25">
      <c r="A128" s="49"/>
      <c r="B128" s="194"/>
      <c r="C128" s="135"/>
      <c r="D128" s="8"/>
      <c r="E128" s="8"/>
      <c r="M128" s="290"/>
      <c r="N128" s="8"/>
    </row>
    <row r="129" spans="1:14" s="8" customFormat="1" x14ac:dyDescent="0.25">
      <c r="A129" s="49"/>
      <c r="B129" s="194"/>
      <c r="C129" s="135"/>
      <c r="E129" s="206"/>
      <c r="F129"/>
      <c r="G129"/>
      <c r="H129" s="1"/>
      <c r="I129"/>
      <c r="J129"/>
      <c r="K129"/>
      <c r="L129"/>
      <c r="M129" s="291"/>
    </row>
    <row r="130" spans="1:14" s="8" customFormat="1" ht="12" customHeight="1" x14ac:dyDescent="0.25">
      <c r="A130" s="49"/>
      <c r="F130"/>
      <c r="G130"/>
      <c r="H130" s="1"/>
      <c r="I130"/>
      <c r="J130"/>
      <c r="K130"/>
      <c r="L130"/>
      <c r="M130" s="282"/>
    </row>
    <row r="131" spans="1:14" s="8" customFormat="1" hidden="1" x14ac:dyDescent="0.25">
      <c r="A131" s="49"/>
      <c r="B131" s="55"/>
      <c r="C131" s="55"/>
      <c r="F131"/>
      <c r="G131"/>
      <c r="H131" s="1"/>
      <c r="I131"/>
      <c r="J131"/>
      <c r="K131"/>
      <c r="L131"/>
      <c r="M131" s="291"/>
    </row>
    <row r="132" spans="1:14" s="8" customFormat="1" hidden="1" x14ac:dyDescent="0.25">
      <c r="F132"/>
      <c r="G132"/>
      <c r="H132" s="1"/>
      <c r="I132"/>
      <c r="J132"/>
      <c r="K132"/>
      <c r="L132"/>
      <c r="M132" s="291"/>
    </row>
    <row r="133" spans="1:14" s="8" customFormat="1" ht="3" hidden="1" customHeight="1" x14ac:dyDescent="0.25">
      <c r="A133" s="49"/>
      <c r="B133" s="70"/>
      <c r="C133" s="67"/>
      <c r="D133" s="69"/>
      <c r="F133"/>
      <c r="G133"/>
      <c r="H133" s="1"/>
      <c r="I133"/>
      <c r="J133"/>
      <c r="K133"/>
      <c r="L133"/>
      <c r="M133" s="290"/>
      <c r="N133" s="68"/>
    </row>
    <row r="134" spans="1:14" s="8" customFormat="1" hidden="1" x14ac:dyDescent="0.25">
      <c r="A134" s="49"/>
      <c r="B134" s="194"/>
      <c r="C134" s="67"/>
      <c r="D134" s="69"/>
      <c r="F134"/>
      <c r="G134"/>
      <c r="H134" s="1"/>
      <c r="I134"/>
      <c r="J134"/>
      <c r="K134"/>
      <c r="L134"/>
      <c r="M134" s="282"/>
      <c r="N134" s="69"/>
    </row>
    <row r="135" spans="1:14" s="8" customFormat="1" hidden="1" x14ac:dyDescent="0.25">
      <c r="A135" s="49"/>
      <c r="B135" s="194"/>
      <c r="C135" s="67"/>
      <c r="D135" s="69"/>
      <c r="F135"/>
      <c r="G135"/>
      <c r="H135" s="1"/>
      <c r="I135"/>
      <c r="J135"/>
      <c r="K135"/>
      <c r="L135"/>
      <c r="M135" s="282"/>
      <c r="N135" s="69"/>
    </row>
    <row r="136" spans="1:14" s="8" customFormat="1" ht="6.75" hidden="1" customHeight="1" x14ac:dyDescent="0.25">
      <c r="A136" s="49"/>
      <c r="B136" s="194"/>
      <c r="C136" s="67"/>
      <c r="D136" s="69"/>
      <c r="F136"/>
      <c r="G136"/>
      <c r="H136" s="1"/>
      <c r="I136"/>
      <c r="J136"/>
      <c r="K136"/>
      <c r="L136"/>
      <c r="M136" s="7"/>
    </row>
    <row r="137" spans="1:14" s="8" customFormat="1" hidden="1" x14ac:dyDescent="0.25">
      <c r="A137" s="49"/>
      <c r="B137" s="194"/>
      <c r="C137" s="67"/>
      <c r="D137" s="69"/>
      <c r="F137"/>
      <c r="G137"/>
      <c r="H137" s="1"/>
      <c r="I137"/>
      <c r="J137"/>
      <c r="K137"/>
      <c r="L137"/>
      <c r="M137" s="7"/>
    </row>
    <row r="138" spans="1:14" s="8" customFormat="1" ht="14.25" hidden="1" customHeight="1" x14ac:dyDescent="0.25">
      <c r="A138" s="49"/>
      <c r="B138" s="198"/>
      <c r="C138" s="135"/>
      <c r="D138" s="69"/>
      <c r="F138"/>
      <c r="G138"/>
      <c r="H138" s="1"/>
      <c r="I138"/>
      <c r="J138"/>
      <c r="K138"/>
      <c r="L138"/>
      <c r="M138" s="7"/>
    </row>
    <row r="139" spans="1:14" s="8" customFormat="1" hidden="1" x14ac:dyDescent="0.25">
      <c r="A139" s="49"/>
      <c r="F139"/>
      <c r="G139"/>
      <c r="H139" s="1"/>
      <c r="I139"/>
      <c r="J139"/>
      <c r="K139"/>
      <c r="L139"/>
      <c r="M139" s="7"/>
    </row>
    <row r="140" spans="1:14" s="8" customFormat="1" hidden="1" x14ac:dyDescent="0.25">
      <c r="B140" s="194"/>
      <c r="F140"/>
      <c r="G140"/>
      <c r="H140" s="1"/>
      <c r="I140"/>
      <c r="J140"/>
      <c r="K140"/>
      <c r="L140"/>
      <c r="M140" s="7"/>
    </row>
    <row r="141" spans="1:14" s="8" customFormat="1" hidden="1" x14ac:dyDescent="0.25">
      <c r="F141"/>
      <c r="G141"/>
      <c r="H141" s="1"/>
      <c r="I141"/>
      <c r="J141"/>
      <c r="K141"/>
      <c r="L141"/>
      <c r="M141" s="7"/>
    </row>
    <row r="142" spans="1:14" s="8" customFormat="1" hidden="1" x14ac:dyDescent="0.25">
      <c r="F142"/>
      <c r="G142"/>
      <c r="H142" s="1"/>
      <c r="I142"/>
      <c r="J142"/>
      <c r="K142"/>
      <c r="L142"/>
      <c r="M142" s="7"/>
    </row>
    <row r="143" spans="1:14" s="8" customFormat="1" hidden="1" x14ac:dyDescent="0.25">
      <c r="F143"/>
      <c r="G143"/>
      <c r="H143" s="1"/>
      <c r="I143"/>
      <c r="J143"/>
      <c r="K143"/>
      <c r="L143"/>
      <c r="M143" s="144"/>
      <c r="N143" s="118"/>
    </row>
    <row r="144" spans="1:14" s="8" customFormat="1" hidden="1" x14ac:dyDescent="0.25">
      <c r="F144"/>
      <c r="G144"/>
      <c r="H144" s="1"/>
      <c r="I144"/>
      <c r="J144"/>
      <c r="K144"/>
      <c r="L144"/>
      <c r="M144" s="292"/>
      <c r="N144" s="97"/>
    </row>
    <row r="145" spans="1:14" s="8" customFormat="1" hidden="1" x14ac:dyDescent="0.25">
      <c r="F145"/>
      <c r="G145"/>
      <c r="H145" s="1"/>
      <c r="I145"/>
      <c r="J145"/>
      <c r="K145"/>
      <c r="L145"/>
      <c r="M145" s="292"/>
      <c r="N145" s="97"/>
    </row>
    <row r="146" spans="1:14" s="8" customFormat="1" hidden="1" x14ac:dyDescent="0.25">
      <c r="F146"/>
      <c r="G146"/>
      <c r="H146" s="1"/>
      <c r="I146"/>
      <c r="J146"/>
      <c r="K146"/>
      <c r="L146"/>
      <c r="M146" s="292"/>
      <c r="N146" s="97"/>
    </row>
    <row r="147" spans="1:14" s="8" customFormat="1" hidden="1" x14ac:dyDescent="0.25">
      <c r="F147"/>
      <c r="G147"/>
      <c r="H147" s="1"/>
      <c r="I147"/>
      <c r="J147"/>
      <c r="K147"/>
      <c r="L147"/>
      <c r="M147" s="292"/>
      <c r="N147" s="97"/>
    </row>
    <row r="148" spans="1:14" s="8" customFormat="1" hidden="1" x14ac:dyDescent="0.25">
      <c r="F148"/>
      <c r="G148"/>
      <c r="H148" s="1"/>
      <c r="I148"/>
      <c r="J148"/>
      <c r="K148"/>
      <c r="L148"/>
      <c r="M148" s="282"/>
      <c r="N148" s="69"/>
    </row>
    <row r="149" spans="1:14" s="8" customFormat="1" hidden="1" x14ac:dyDescent="0.25">
      <c r="F149"/>
      <c r="G149"/>
      <c r="H149" s="1"/>
      <c r="I149"/>
      <c r="J149"/>
      <c r="K149"/>
      <c r="L149"/>
      <c r="M149" s="282"/>
      <c r="N149" s="69"/>
    </row>
    <row r="150" spans="1:14" s="8" customFormat="1" hidden="1" x14ac:dyDescent="0.25">
      <c r="F150"/>
      <c r="G150"/>
      <c r="H150" s="1"/>
      <c r="I150"/>
      <c r="J150"/>
      <c r="K150"/>
      <c r="L150"/>
      <c r="M150" s="282"/>
      <c r="N150" s="69"/>
    </row>
    <row r="151" spans="1:14" s="8" customFormat="1" hidden="1" x14ac:dyDescent="0.25">
      <c r="F151"/>
      <c r="G151"/>
      <c r="H151" s="1"/>
      <c r="I151"/>
      <c r="J151"/>
      <c r="K151"/>
      <c r="L151"/>
      <c r="M151" s="282"/>
      <c r="N151" s="69"/>
    </row>
    <row r="152" spans="1:14" s="8" customFormat="1" hidden="1" x14ac:dyDescent="0.25">
      <c r="F152"/>
      <c r="G152"/>
      <c r="H152" s="1"/>
      <c r="I152"/>
      <c r="J152"/>
      <c r="K152"/>
      <c r="L152"/>
      <c r="M152" s="144"/>
      <c r="N152" s="118"/>
    </row>
    <row r="153" spans="1:14" s="8" customFormat="1" hidden="1" x14ac:dyDescent="0.25">
      <c r="F153"/>
      <c r="G153"/>
      <c r="H153" s="1"/>
      <c r="I153"/>
      <c r="J153"/>
      <c r="K153"/>
      <c r="L153"/>
      <c r="M153" s="292"/>
      <c r="N153" s="97"/>
    </row>
    <row r="154" spans="1:14" s="8" customFormat="1" hidden="1" x14ac:dyDescent="0.25">
      <c r="F154"/>
      <c r="G154"/>
      <c r="H154" s="1"/>
      <c r="I154"/>
      <c r="J154"/>
      <c r="K154"/>
      <c r="L154"/>
      <c r="M154" s="282"/>
      <c r="N154" s="69"/>
    </row>
    <row r="155" spans="1:14" hidden="1" x14ac:dyDescent="0.25">
      <c r="A155" s="8"/>
      <c r="B155" s="8"/>
      <c r="C155" s="8"/>
      <c r="D155" s="8"/>
      <c r="E155" s="8"/>
      <c r="M155" s="282"/>
      <c r="N155" s="69"/>
    </row>
    <row r="156" spans="1:14" x14ac:dyDescent="0.25">
      <c r="A156" s="8"/>
      <c r="B156" s="8"/>
      <c r="C156" s="8"/>
      <c r="D156" s="8"/>
      <c r="E156" s="8"/>
    </row>
    <row r="157" spans="1:14" x14ac:dyDescent="0.25">
      <c r="A157" s="8"/>
      <c r="B157" s="8"/>
      <c r="C157" s="8"/>
      <c r="D157" s="8"/>
      <c r="E157" s="8"/>
    </row>
    <row r="158" spans="1:14" x14ac:dyDescent="0.25">
      <c r="A158" s="8"/>
      <c r="B158" s="8"/>
      <c r="C158" s="8"/>
      <c r="D158" s="8"/>
      <c r="E158" s="8"/>
    </row>
  </sheetData>
  <mergeCells count="45">
    <mergeCell ref="I68:K68"/>
    <mergeCell ref="D90:F90"/>
    <mergeCell ref="E1:H1"/>
    <mergeCell ref="I1:M1"/>
    <mergeCell ref="E2:H2"/>
    <mergeCell ref="I2:M2"/>
    <mergeCell ref="H28:J28"/>
    <mergeCell ref="I29:K29"/>
    <mergeCell ref="D104:F104"/>
    <mergeCell ref="D64:F64"/>
    <mergeCell ref="D65:F65"/>
    <mergeCell ref="D66:F66"/>
    <mergeCell ref="D67:F67"/>
    <mergeCell ref="D91:F91"/>
    <mergeCell ref="D92:F92"/>
    <mergeCell ref="D93:F93"/>
    <mergeCell ref="D102:F102"/>
    <mergeCell ref="D103:F103"/>
    <mergeCell ref="D105:F105"/>
    <mergeCell ref="D115:F115"/>
    <mergeCell ref="D116:F116"/>
    <mergeCell ref="D117:F117"/>
    <mergeCell ref="I120:K120"/>
    <mergeCell ref="R1:U1"/>
    <mergeCell ref="V1:Z1"/>
    <mergeCell ref="R2:T2"/>
    <mergeCell ref="U2:X2"/>
    <mergeCell ref="R3:S3"/>
    <mergeCell ref="U3:W3"/>
    <mergeCell ref="R4:S4"/>
    <mergeCell ref="U4:W4"/>
    <mergeCell ref="U6:W6"/>
    <mergeCell ref="R7:S7"/>
    <mergeCell ref="U7:W7"/>
    <mergeCell ref="R8:S8"/>
    <mergeCell ref="U28:W28"/>
    <mergeCell ref="V29:X29"/>
    <mergeCell ref="Q52:S52"/>
    <mergeCell ref="Q53:S53"/>
    <mergeCell ref="Q67:S67"/>
    <mergeCell ref="Q54:S54"/>
    <mergeCell ref="Q55:S55"/>
    <mergeCell ref="V56:X56"/>
    <mergeCell ref="Q65:S65"/>
    <mergeCell ref="Q66:S66"/>
  </mergeCells>
  <dataValidations count="2">
    <dataValidation type="list" allowBlank="1" showInputMessage="1" showErrorMessage="1" sqref="L119 L62 L31:L32 L97:L99 L109:L112 L23 H12:H22 H35:H61 L88 H73:H87 H97:H99 Y50 Y31:Y32 Y23 U12:U22 U35:U49 Y59:Y63 U59:U62" xr:uid="{CE99FC28-E5F6-49C2-9C44-2E76027776F7}">
      <formula1>"Yes, No, N/A"</formula1>
    </dataValidation>
    <dataValidation type="list" allowBlank="1" showInputMessage="1" showErrorMessage="1" sqref="P63" xr:uid="{1785164E-FE55-43D8-834D-E5A1471BDC77}">
      <formula1>"2020,2021,2022,2023,2024"</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CA2FEF76-CEF9-4ACB-8D66-6B36AA72343F}">
          <x14:formula1>
            <xm:f>'Reference Sheet'!$E$3:$E$10</xm:f>
          </x14:formula1>
          <xm:sqref>B98:B99</xm:sqref>
        </x14:dataValidation>
        <x14:dataValidation type="list" allowBlank="1" showInputMessage="1" showErrorMessage="1" xr:uid="{2D307971-6492-4E48-B4FC-498AC6AC55A6}">
          <x14:formula1>
            <xm:f>'Reference Sheet'!$E$2:$E$10</xm:f>
          </x14:formula1>
          <xm:sqref>B119 B73:B88 B31:B32 B35:B62 B97 B12:B23 O31:O32 O12:O23 O35:O50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9BED8-8A54-4AF7-A589-C2AEBF1C30F9}">
  <sheetPr>
    <tabColor rgb="FFF2D2E4"/>
  </sheetPr>
  <dimension ref="A1:Z158"/>
  <sheetViews>
    <sheetView topLeftCell="A85" zoomScale="90" zoomScaleNormal="90" workbookViewId="0">
      <selection activeCell="X68" sqref="X68"/>
    </sheetView>
  </sheetViews>
  <sheetFormatPr defaultRowHeight="15" x14ac:dyDescent="0.25"/>
  <cols>
    <col min="1" max="1" width="44.42578125" customWidth="1"/>
    <col min="2" max="2" width="15.28515625" customWidth="1"/>
    <col min="3" max="3" width="13.140625" customWidth="1"/>
    <col min="4" max="4" width="14.140625" customWidth="1"/>
    <col min="5" max="5" width="15.5703125" customWidth="1"/>
    <col min="6" max="7" width="15.140625" customWidth="1"/>
    <col min="8" max="8" width="13.42578125" style="1" customWidth="1"/>
    <col min="9" max="9" width="15.140625" customWidth="1"/>
    <col min="10" max="10" width="16.28515625" customWidth="1"/>
    <col min="11" max="11" width="16" customWidth="1"/>
    <col min="12" max="12" width="17.5703125" customWidth="1"/>
    <col min="13" max="13" width="14.28515625" style="7" customWidth="1"/>
    <col min="14" max="14" width="23" customWidth="1"/>
    <col min="15" max="20" width="13.7109375" customWidth="1"/>
    <col min="21" max="21" width="17.5703125" customWidth="1"/>
  </cols>
  <sheetData>
    <row r="1" spans="1:26" ht="58.5" customHeight="1" x14ac:dyDescent="0.25">
      <c r="A1" s="358" t="s">
        <v>242</v>
      </c>
      <c r="B1" s="358" t="s">
        <v>43</v>
      </c>
      <c r="C1" s="359" t="s">
        <v>111</v>
      </c>
      <c r="D1" s="360" t="s">
        <v>131</v>
      </c>
      <c r="E1" s="456" t="s">
        <v>306</v>
      </c>
      <c r="F1" s="456"/>
      <c r="G1" s="456"/>
      <c r="H1" s="456"/>
      <c r="I1" s="441"/>
      <c r="J1" s="441"/>
      <c r="K1" s="441"/>
      <c r="L1" s="441"/>
      <c r="M1" s="441"/>
      <c r="N1" s="329" t="s">
        <v>150</v>
      </c>
      <c r="O1" s="329" t="s">
        <v>43</v>
      </c>
      <c r="P1" s="330" t="s">
        <v>111</v>
      </c>
      <c r="Q1" s="167" t="s">
        <v>131</v>
      </c>
      <c r="R1" s="439" t="s">
        <v>261</v>
      </c>
      <c r="S1" s="440"/>
      <c r="T1" s="440"/>
      <c r="U1" s="440"/>
      <c r="V1" s="441"/>
      <c r="W1" s="441"/>
      <c r="X1" s="441"/>
      <c r="Y1" s="441"/>
      <c r="Z1" s="441"/>
    </row>
    <row r="2" spans="1:26" ht="15" customHeight="1" x14ac:dyDescent="0.25">
      <c r="C2" s="1"/>
      <c r="D2" s="253"/>
      <c r="E2" s="453" t="s">
        <v>1</v>
      </c>
      <c r="F2" s="454"/>
      <c r="G2" s="454"/>
      <c r="H2" s="454"/>
      <c r="I2" s="441"/>
      <c r="J2" s="441"/>
      <c r="K2" s="441"/>
      <c r="L2" s="441"/>
      <c r="M2" s="441"/>
      <c r="P2" s="1"/>
      <c r="Q2" s="253"/>
      <c r="R2" s="442" t="s">
        <v>265</v>
      </c>
      <c r="S2" s="443"/>
      <c r="T2" s="444"/>
      <c r="U2" s="445" t="s">
        <v>264</v>
      </c>
      <c r="V2" s="445"/>
      <c r="W2" s="445"/>
      <c r="X2" s="445"/>
      <c r="Y2" s="8"/>
      <c r="Z2" s="7"/>
    </row>
    <row r="3" spans="1:26" x14ac:dyDescent="0.25">
      <c r="A3" s="75" t="s">
        <v>46</v>
      </c>
      <c r="B3" s="78">
        <f>B25+B64+B90</f>
        <v>3137009.9116800008</v>
      </c>
      <c r="C3" s="207">
        <f>B3/B8</f>
        <v>0.5450231661681445</v>
      </c>
      <c r="D3" s="227">
        <f>G28+G66+G92</f>
        <v>2.6141749264000005</v>
      </c>
      <c r="E3" s="295" t="s">
        <v>240</v>
      </c>
      <c r="F3" s="296"/>
      <c r="G3" s="297"/>
      <c r="H3" s="112" t="s">
        <v>241</v>
      </c>
      <c r="I3" s="112"/>
      <c r="J3" s="112"/>
      <c r="K3" s="112"/>
      <c r="L3" s="8"/>
      <c r="N3" s="75" t="s">
        <v>151</v>
      </c>
      <c r="O3" s="78">
        <f>O25+O52</f>
        <v>322011.79576000007</v>
      </c>
      <c r="P3" s="207">
        <f>O3/O8</f>
        <v>0.33073971246273709</v>
      </c>
      <c r="Q3" s="227">
        <f>T28+T54</f>
        <v>0.2683431631333334</v>
      </c>
      <c r="R3" s="434" t="s">
        <v>262</v>
      </c>
      <c r="S3" s="435"/>
      <c r="T3" s="9">
        <v>2</v>
      </c>
      <c r="U3" s="434" t="s">
        <v>301</v>
      </c>
      <c r="V3" s="436"/>
      <c r="W3" s="435"/>
      <c r="X3" s="331">
        <v>9</v>
      </c>
      <c r="Y3" s="8"/>
      <c r="Z3" s="7"/>
    </row>
    <row r="4" spans="1:26" x14ac:dyDescent="0.25">
      <c r="A4" s="75"/>
      <c r="B4" s="75"/>
      <c r="C4" s="79"/>
      <c r="D4" s="227"/>
      <c r="E4" s="150" t="s">
        <v>222</v>
      </c>
      <c r="F4" s="294"/>
      <c r="G4" s="9">
        <v>2</v>
      </c>
      <c r="H4" s="150" t="s">
        <v>223</v>
      </c>
      <c r="I4" s="293"/>
      <c r="J4" s="294"/>
      <c r="K4" s="278" t="s">
        <v>224</v>
      </c>
      <c r="L4" s="8"/>
      <c r="N4" s="75"/>
      <c r="O4" s="75"/>
      <c r="P4" s="79"/>
      <c r="Q4" s="227"/>
      <c r="R4" s="434" t="s">
        <v>263</v>
      </c>
      <c r="S4" s="435"/>
      <c r="T4" s="9">
        <v>3</v>
      </c>
      <c r="U4" s="434"/>
      <c r="V4" s="436"/>
      <c r="W4" s="435"/>
      <c r="X4" s="61"/>
      <c r="Y4" s="8"/>
      <c r="Z4" s="7"/>
    </row>
    <row r="5" spans="1:26" x14ac:dyDescent="0.25">
      <c r="A5" s="75"/>
      <c r="B5" s="75"/>
      <c r="C5" s="75"/>
      <c r="D5" s="99"/>
      <c r="E5" s="150" t="s">
        <v>237</v>
      </c>
      <c r="F5" s="294"/>
      <c r="G5" s="9">
        <v>2</v>
      </c>
      <c r="H5" s="150" t="s">
        <v>227</v>
      </c>
      <c r="I5" s="293"/>
      <c r="J5" s="294"/>
      <c r="K5" s="61" t="s">
        <v>224</v>
      </c>
      <c r="L5" s="8"/>
      <c r="N5" s="75"/>
      <c r="O5" s="75"/>
      <c r="P5" s="75"/>
      <c r="Q5" s="99"/>
      <c r="R5" s="63"/>
      <c r="S5" s="63"/>
      <c r="T5" s="90"/>
      <c r="W5" s="280"/>
      <c r="X5" s="281"/>
      <c r="Y5" s="8"/>
      <c r="Z5" s="7"/>
    </row>
    <row r="6" spans="1:26" x14ac:dyDescent="0.25">
      <c r="A6" s="75" t="s">
        <v>112</v>
      </c>
      <c r="B6" s="78">
        <f>B102</f>
        <v>1645116.0000000005</v>
      </c>
      <c r="C6" s="207">
        <f>B6/B8</f>
        <v>0.2858219630404969</v>
      </c>
      <c r="D6" s="227">
        <f>G104</f>
        <v>1.3709300000000004</v>
      </c>
      <c r="E6" s="63" t="s">
        <v>238</v>
      </c>
      <c r="F6" s="63"/>
      <c r="G6" s="90">
        <v>1</v>
      </c>
      <c r="H6" t="s">
        <v>228</v>
      </c>
      <c r="J6" s="280"/>
      <c r="K6" s="281"/>
      <c r="L6" s="8"/>
      <c r="N6" s="75" t="s">
        <v>260</v>
      </c>
      <c r="O6" s="78">
        <f>O65</f>
        <v>651599.12432653061</v>
      </c>
      <c r="P6" s="207">
        <f>O6/O8</f>
        <v>0.66926028753726285</v>
      </c>
      <c r="Q6" s="227">
        <f>T67</f>
        <v>0.54299927027210881</v>
      </c>
      <c r="R6" s="63"/>
      <c r="S6" s="63"/>
      <c r="T6" s="279"/>
      <c r="U6" s="437"/>
      <c r="V6" s="437"/>
      <c r="W6" s="437"/>
      <c r="X6" s="9"/>
      <c r="Y6" s="8"/>
      <c r="Z6" s="7"/>
    </row>
    <row r="7" spans="1:26" x14ac:dyDescent="0.25">
      <c r="A7" s="364" t="s">
        <v>314</v>
      </c>
      <c r="B7" s="365">
        <f>O8</f>
        <v>973610.92008653074</v>
      </c>
      <c r="C7" s="207">
        <f>B7/B8</f>
        <v>0.16915487079135846</v>
      </c>
      <c r="D7" s="366">
        <f>Q8</f>
        <v>0.81134243340544221</v>
      </c>
      <c r="E7" s="63"/>
      <c r="F7" s="63"/>
      <c r="G7" s="90"/>
      <c r="H7" s="9" t="s">
        <v>315</v>
      </c>
      <c r="I7" s="9"/>
      <c r="J7" s="9"/>
      <c r="K7" s="374">
        <v>1</v>
      </c>
      <c r="L7" s="8" t="s">
        <v>1</v>
      </c>
      <c r="N7" s="254"/>
      <c r="O7" s="255"/>
      <c r="P7" s="79"/>
      <c r="Q7" s="256"/>
      <c r="R7" s="434" t="s">
        <v>229</v>
      </c>
      <c r="S7" s="435"/>
      <c r="T7" s="60">
        <v>1</v>
      </c>
      <c r="U7" s="438"/>
      <c r="V7" s="438"/>
      <c r="W7" s="438"/>
      <c r="X7" s="57"/>
      <c r="Y7" s="8"/>
      <c r="Z7" s="7"/>
    </row>
    <row r="8" spans="1:26" x14ac:dyDescent="0.25">
      <c r="A8" s="75" t="s">
        <v>42</v>
      </c>
      <c r="B8" s="78">
        <f>SUM(B3:B7)</f>
        <v>5755736.8317665327</v>
      </c>
      <c r="C8" s="79"/>
      <c r="D8" s="99">
        <f>SUM(D3:D7)</f>
        <v>4.7964473598054429</v>
      </c>
      <c r="E8" s="63" t="s">
        <v>229</v>
      </c>
      <c r="F8" s="63"/>
      <c r="G8" s="60">
        <v>1</v>
      </c>
      <c r="H8" s="59" t="s">
        <v>226</v>
      </c>
      <c r="I8" s="59"/>
      <c r="J8" s="59"/>
      <c r="K8" s="57" t="s">
        <v>197</v>
      </c>
      <c r="L8" s="8"/>
      <c r="N8" s="75" t="s">
        <v>42</v>
      </c>
      <c r="O8" s="78">
        <f>O3+O6</f>
        <v>973610.92008653074</v>
      </c>
      <c r="P8" s="79"/>
      <c r="Q8" s="227">
        <f>SUM(Q3+Q6)</f>
        <v>0.81134243340544221</v>
      </c>
      <c r="R8" s="434" t="s">
        <v>230</v>
      </c>
      <c r="S8" s="435"/>
      <c r="T8" s="60">
        <v>0.1</v>
      </c>
      <c r="U8" s="8"/>
      <c r="V8" s="49"/>
      <c r="W8" s="8"/>
      <c r="X8" s="8"/>
      <c r="Y8" s="8"/>
      <c r="Z8" s="7"/>
    </row>
    <row r="9" spans="1:26" x14ac:dyDescent="0.25">
      <c r="A9" s="1"/>
      <c r="C9" s="304">
        <f>SUM(C3:C7)</f>
        <v>0.99999999999999989</v>
      </c>
      <c r="E9" s="63" t="s">
        <v>230</v>
      </c>
      <c r="F9" s="63"/>
      <c r="G9" s="60">
        <v>0.1</v>
      </c>
      <c r="H9" s="8"/>
      <c r="I9" s="49"/>
      <c r="J9" s="8"/>
      <c r="K9" s="8"/>
      <c r="L9" s="8"/>
      <c r="N9" s="333"/>
      <c r="O9" s="334"/>
      <c r="P9" s="335"/>
      <c r="Q9" s="336"/>
      <c r="R9" s="337"/>
      <c r="S9" s="337"/>
      <c r="T9" s="338"/>
      <c r="U9" s="339"/>
      <c r="V9" s="333"/>
      <c r="W9" s="339"/>
      <c r="X9" s="339"/>
      <c r="Y9" s="339"/>
      <c r="Z9" s="339"/>
    </row>
    <row r="10" spans="1:26" ht="15.75" x14ac:dyDescent="0.25">
      <c r="A10" s="361" t="s">
        <v>1</v>
      </c>
      <c r="F10" s="10" t="s">
        <v>40</v>
      </c>
      <c r="G10" s="358">
        <f>$G$4</f>
        <v>2</v>
      </c>
      <c r="H10" s="1" t="s">
        <v>1</v>
      </c>
      <c r="N10" s="329" t="s">
        <v>312</v>
      </c>
      <c r="O10" s="10" t="s">
        <v>217</v>
      </c>
      <c r="P10" s="277">
        <v>1</v>
      </c>
      <c r="T10" s="10" t="s">
        <v>40</v>
      </c>
      <c r="U10" s="329">
        <f>T3</f>
        <v>2</v>
      </c>
    </row>
    <row r="11" spans="1:26" ht="66.75" customHeight="1" x14ac:dyDescent="0.25">
      <c r="A11" s="142" t="s">
        <v>208</v>
      </c>
      <c r="B11" s="144" t="s">
        <v>0</v>
      </c>
      <c r="C11" s="143" t="s">
        <v>188</v>
      </c>
      <c r="D11" s="143" t="s">
        <v>25</v>
      </c>
      <c r="E11" s="143" t="s">
        <v>20</v>
      </c>
      <c r="F11" s="143" t="s">
        <v>21</v>
      </c>
      <c r="G11" s="143" t="s">
        <v>105</v>
      </c>
      <c r="H11" s="143" t="s">
        <v>17</v>
      </c>
      <c r="N11" s="142" t="s">
        <v>208</v>
      </c>
      <c r="O11" s="144" t="s">
        <v>0</v>
      </c>
      <c r="P11" s="143" t="s">
        <v>188</v>
      </c>
      <c r="Q11" s="143" t="s">
        <v>25</v>
      </c>
      <c r="R11" s="143" t="s">
        <v>20</v>
      </c>
      <c r="S11" s="143" t="s">
        <v>21</v>
      </c>
      <c r="T11" s="143" t="s">
        <v>105</v>
      </c>
      <c r="U11" s="143" t="s">
        <v>17</v>
      </c>
      <c r="Z11" s="8"/>
    </row>
    <row r="12" spans="1:26" s="8" customFormat="1" x14ac:dyDescent="0.25">
      <c r="A12" s="50" t="s">
        <v>28</v>
      </c>
      <c r="B12" s="9"/>
      <c r="C12" s="119"/>
      <c r="D12" s="58">
        <f>$G$10</f>
        <v>2</v>
      </c>
      <c r="E12" s="58">
        <v>20</v>
      </c>
      <c r="F12" s="65">
        <f>D12*E12</f>
        <v>40</v>
      </c>
      <c r="G12" s="110"/>
      <c r="H12" s="61" t="s">
        <v>18</v>
      </c>
      <c r="M12" s="7"/>
      <c r="N12" s="50" t="s">
        <v>28</v>
      </c>
      <c r="O12" s="9"/>
      <c r="P12" s="119"/>
      <c r="Q12" s="58"/>
      <c r="R12" s="58">
        <v>20</v>
      </c>
      <c r="S12" s="65">
        <f>Q12*R12</f>
        <v>0</v>
      </c>
      <c r="T12" s="110"/>
      <c r="U12" s="61" t="s">
        <v>18</v>
      </c>
    </row>
    <row r="13" spans="1:26" s="8" customFormat="1" x14ac:dyDescent="0.25">
      <c r="A13" s="50" t="s">
        <v>78</v>
      </c>
      <c r="B13" s="9"/>
      <c r="C13" s="185"/>
      <c r="D13" s="58">
        <f>$G$10</f>
        <v>2</v>
      </c>
      <c r="E13" s="58">
        <v>400</v>
      </c>
      <c r="F13" s="65">
        <f>D13*E13</f>
        <v>800</v>
      </c>
      <c r="G13" s="110"/>
      <c r="H13" s="61" t="s">
        <v>18</v>
      </c>
      <c r="M13" s="7"/>
      <c r="N13" s="50" t="s">
        <v>78</v>
      </c>
      <c r="O13" s="9"/>
      <c r="P13" s="185"/>
      <c r="Q13" s="58"/>
      <c r="R13" s="58">
        <v>100</v>
      </c>
      <c r="S13" s="65">
        <f>Q13*R13</f>
        <v>0</v>
      </c>
      <c r="T13" s="110"/>
      <c r="U13" s="61" t="s">
        <v>18</v>
      </c>
    </row>
    <row r="14" spans="1:26" s="8" customFormat="1" x14ac:dyDescent="0.25">
      <c r="A14" s="50" t="s">
        <v>26</v>
      </c>
      <c r="B14" s="9" t="s">
        <v>3</v>
      </c>
      <c r="C14" s="219">
        <f>'Prices_non-Labor'!$H$12</f>
        <v>1.5972000000000004</v>
      </c>
      <c r="D14" s="58">
        <v>1</v>
      </c>
      <c r="E14" s="58">
        <f>SUM(E12:E13)*D14</f>
        <v>420</v>
      </c>
      <c r="F14" s="62">
        <f>E14</f>
        <v>420</v>
      </c>
      <c r="G14" s="189">
        <f>F14*C14</f>
        <v>670.82400000000018</v>
      </c>
      <c r="H14" s="61" t="s">
        <v>16</v>
      </c>
      <c r="M14" s="7"/>
      <c r="N14" s="50" t="s">
        <v>26</v>
      </c>
      <c r="O14" s="9" t="s">
        <v>3</v>
      </c>
      <c r="P14" s="185">
        <f>'Prices_non-Labor'!$H$12</f>
        <v>1.5972000000000004</v>
      </c>
      <c r="Q14" s="58">
        <v>1</v>
      </c>
      <c r="R14" s="58">
        <f>SUM(R12:R13)*Q14</f>
        <v>120</v>
      </c>
      <c r="S14" s="62">
        <f>R14</f>
        <v>120</v>
      </c>
      <c r="T14" s="189">
        <f t="shared" ref="T14:T22" si="0">S14*P14</f>
        <v>191.66400000000004</v>
      </c>
      <c r="U14" s="61" t="s">
        <v>16</v>
      </c>
    </row>
    <row r="15" spans="1:26" s="8" customFormat="1" x14ac:dyDescent="0.25">
      <c r="A15" s="50" t="s">
        <v>79</v>
      </c>
      <c r="B15" s="9" t="s">
        <v>3</v>
      </c>
      <c r="C15" s="219">
        <f>'Prices_non-Labor'!$H$13</f>
        <v>1.3310000000000004</v>
      </c>
      <c r="D15" s="58">
        <v>0.2</v>
      </c>
      <c r="E15" s="58">
        <v>420</v>
      </c>
      <c r="F15" s="62">
        <f>E15*D15</f>
        <v>84</v>
      </c>
      <c r="G15" s="189">
        <f t="shared" ref="G15:G22" si="1">F15*C15</f>
        <v>111.80400000000003</v>
      </c>
      <c r="H15" s="61" t="s">
        <v>16</v>
      </c>
      <c r="M15" s="7"/>
      <c r="N15" s="50" t="s">
        <v>79</v>
      </c>
      <c r="O15" s="9" t="s">
        <v>3</v>
      </c>
      <c r="P15" s="185">
        <f>'Prices_non-Labor'!$H$13</f>
        <v>1.3310000000000004</v>
      </c>
      <c r="Q15" s="58">
        <v>0.2</v>
      </c>
      <c r="R15" s="58">
        <f>SUM(R12:R13)</f>
        <v>120</v>
      </c>
      <c r="S15" s="62">
        <f>R15*Q15</f>
        <v>24</v>
      </c>
      <c r="T15" s="189">
        <f t="shared" si="0"/>
        <v>31.94400000000001</v>
      </c>
      <c r="U15" s="61" t="s">
        <v>16</v>
      </c>
    </row>
    <row r="16" spans="1:26" x14ac:dyDescent="0.25">
      <c r="A16" s="50" t="s">
        <v>29</v>
      </c>
      <c r="B16" s="9" t="s">
        <v>3</v>
      </c>
      <c r="C16" s="219">
        <f>'Prices_non-Labor'!$H$11</f>
        <v>1.3310000000000004</v>
      </c>
      <c r="D16" s="61">
        <v>1</v>
      </c>
      <c r="E16" s="57">
        <f>$E$12</f>
        <v>20</v>
      </c>
      <c r="F16" s="9">
        <f t="shared" ref="F16:F22" si="2">SUM(E16*D16)</f>
        <v>20</v>
      </c>
      <c r="G16" s="189">
        <f t="shared" si="1"/>
        <v>26.620000000000008</v>
      </c>
      <c r="H16" s="61" t="s">
        <v>16</v>
      </c>
      <c r="N16" s="50" t="s">
        <v>289</v>
      </c>
      <c r="O16" s="9" t="s">
        <v>3</v>
      </c>
      <c r="P16" s="185">
        <f>'Prices_non-Labor'!$H$11</f>
        <v>1.3310000000000004</v>
      </c>
      <c r="Q16" s="61">
        <v>1</v>
      </c>
      <c r="R16" s="57">
        <f>$E$12</f>
        <v>20</v>
      </c>
      <c r="S16" s="9">
        <f t="shared" ref="S16:S21" si="3">SUM(R16*Q16)</f>
        <v>20</v>
      </c>
      <c r="T16" s="189">
        <f t="shared" si="0"/>
        <v>26.620000000000008</v>
      </c>
      <c r="U16" s="61" t="s">
        <v>16</v>
      </c>
      <c r="Z16" s="8"/>
    </row>
    <row r="17" spans="1:26" x14ac:dyDescent="0.25">
      <c r="A17" s="50" t="s">
        <v>83</v>
      </c>
      <c r="B17" s="9" t="s">
        <v>3</v>
      </c>
      <c r="C17" s="219">
        <f>'Prices_non-Labor'!$H$11</f>
        <v>1.3310000000000004</v>
      </c>
      <c r="D17" s="61">
        <v>1</v>
      </c>
      <c r="E17" s="57">
        <f>$E$13</f>
        <v>400</v>
      </c>
      <c r="F17" s="9">
        <f t="shared" si="2"/>
        <v>400</v>
      </c>
      <c r="G17" s="189">
        <f t="shared" si="1"/>
        <v>532.4000000000002</v>
      </c>
      <c r="H17" s="61" t="s">
        <v>16</v>
      </c>
      <c r="I17" s="205"/>
      <c r="N17" s="50" t="s">
        <v>290</v>
      </c>
      <c r="O17" s="9" t="s">
        <v>3</v>
      </c>
      <c r="P17" s="185">
        <f>'Prices_non-Labor'!$H$11</f>
        <v>1.3310000000000004</v>
      </c>
      <c r="Q17" s="61">
        <v>1</v>
      </c>
      <c r="R17" s="57">
        <f>$E$13</f>
        <v>400</v>
      </c>
      <c r="S17" s="9">
        <f t="shared" si="3"/>
        <v>400</v>
      </c>
      <c r="T17" s="189">
        <f t="shared" si="0"/>
        <v>532.4000000000002</v>
      </c>
      <c r="U17" s="61" t="s">
        <v>16</v>
      </c>
      <c r="V17" s="205"/>
      <c r="Z17" s="8"/>
    </row>
    <row r="18" spans="1:26" x14ac:dyDescent="0.25">
      <c r="A18" s="50" t="s">
        <v>28</v>
      </c>
      <c r="B18" s="9" t="s">
        <v>41</v>
      </c>
      <c r="C18" s="185">
        <f>'Prices_non-Labor'!$H$36</f>
        <v>37.152718000000007</v>
      </c>
      <c r="D18" s="61">
        <v>1</v>
      </c>
      <c r="E18" s="57">
        <f>$E$12</f>
        <v>20</v>
      </c>
      <c r="F18" s="9">
        <f t="shared" si="2"/>
        <v>20</v>
      </c>
      <c r="G18" s="189">
        <f t="shared" si="1"/>
        <v>743.05436000000009</v>
      </c>
      <c r="H18" s="61" t="s">
        <v>16</v>
      </c>
      <c r="N18" s="50" t="s">
        <v>28</v>
      </c>
      <c r="O18" s="9" t="s">
        <v>41</v>
      </c>
      <c r="P18" s="185">
        <f>'Prices_non-Labor'!$H$36</f>
        <v>37.152718000000007</v>
      </c>
      <c r="Q18" s="61">
        <v>1</v>
      </c>
      <c r="R18" s="57">
        <f>$E$12</f>
        <v>20</v>
      </c>
      <c r="S18" s="9">
        <f t="shared" si="3"/>
        <v>20</v>
      </c>
      <c r="T18" s="189">
        <f t="shared" si="0"/>
        <v>743.05436000000009</v>
      </c>
      <c r="U18" s="61" t="s">
        <v>16</v>
      </c>
      <c r="Z18" s="8"/>
    </row>
    <row r="19" spans="1:26" x14ac:dyDescent="0.25">
      <c r="A19" s="50" t="s">
        <v>78</v>
      </c>
      <c r="B19" s="9" t="s">
        <v>41</v>
      </c>
      <c r="C19" s="185">
        <f>'Prices_non-Labor'!$H$36</f>
        <v>37.152718000000007</v>
      </c>
      <c r="D19" s="61">
        <v>1</v>
      </c>
      <c r="E19" s="57">
        <f>$E$13</f>
        <v>400</v>
      </c>
      <c r="F19" s="9">
        <f t="shared" si="2"/>
        <v>400</v>
      </c>
      <c r="G19" s="189">
        <f t="shared" si="1"/>
        <v>14861.087200000004</v>
      </c>
      <c r="H19" s="61" t="s">
        <v>16</v>
      </c>
      <c r="I19" s="205"/>
      <c r="N19" s="50" t="s">
        <v>78</v>
      </c>
      <c r="O19" s="9" t="s">
        <v>41</v>
      </c>
      <c r="P19" s="185">
        <f>'Prices_non-Labor'!$H$36</f>
        <v>37.152718000000007</v>
      </c>
      <c r="Q19" s="61">
        <v>1</v>
      </c>
      <c r="R19" s="57">
        <f>$E$13</f>
        <v>400</v>
      </c>
      <c r="S19" s="9">
        <f t="shared" si="3"/>
        <v>400</v>
      </c>
      <c r="T19" s="189">
        <f t="shared" si="0"/>
        <v>14861.087200000004</v>
      </c>
      <c r="U19" s="61" t="s">
        <v>16</v>
      </c>
      <c r="V19" s="205"/>
      <c r="Z19" s="8"/>
    </row>
    <row r="20" spans="1:26" x14ac:dyDescent="0.25">
      <c r="A20" s="50" t="s">
        <v>28</v>
      </c>
      <c r="B20" s="9" t="s">
        <v>109</v>
      </c>
      <c r="C20" s="185">
        <f>'Prices_non-Labor'!$H$35</f>
        <v>26.225448</v>
      </c>
      <c r="D20" s="58">
        <f>$G$10</f>
        <v>2</v>
      </c>
      <c r="E20" s="57">
        <f>$E$12</f>
        <v>20</v>
      </c>
      <c r="F20" s="9">
        <f t="shared" si="2"/>
        <v>40</v>
      </c>
      <c r="G20" s="189">
        <f t="shared" si="1"/>
        <v>1049.01792</v>
      </c>
      <c r="H20" s="61" t="s">
        <v>16</v>
      </c>
      <c r="N20" s="50" t="s">
        <v>28</v>
      </c>
      <c r="O20" s="9" t="s">
        <v>109</v>
      </c>
      <c r="P20" s="185">
        <f>'Prices_non-Labor'!$H$35</f>
        <v>26.225448</v>
      </c>
      <c r="Q20" s="61">
        <f>U10</f>
        <v>2</v>
      </c>
      <c r="R20" s="57">
        <f>$E$12</f>
        <v>20</v>
      </c>
      <c r="S20" s="9">
        <f t="shared" si="3"/>
        <v>40</v>
      </c>
      <c r="T20" s="189">
        <f t="shared" si="0"/>
        <v>1049.01792</v>
      </c>
      <c r="U20" s="61" t="s">
        <v>16</v>
      </c>
      <c r="Z20" s="8"/>
    </row>
    <row r="21" spans="1:26" x14ac:dyDescent="0.25">
      <c r="A21" s="50" t="s">
        <v>78</v>
      </c>
      <c r="B21" s="9" t="s">
        <v>109</v>
      </c>
      <c r="C21" s="185">
        <f>'Prices_non-Labor'!$H$35</f>
        <v>26.225448</v>
      </c>
      <c r="D21" s="58">
        <f>$G$10</f>
        <v>2</v>
      </c>
      <c r="E21" s="57">
        <f>$E$13</f>
        <v>400</v>
      </c>
      <c r="F21" s="9">
        <f t="shared" si="2"/>
        <v>800</v>
      </c>
      <c r="G21" s="189">
        <f t="shared" si="1"/>
        <v>20980.358400000001</v>
      </c>
      <c r="H21" s="61" t="s">
        <v>16</v>
      </c>
      <c r="N21" s="50" t="s">
        <v>78</v>
      </c>
      <c r="O21" s="9" t="s">
        <v>109</v>
      </c>
      <c r="P21" s="185">
        <f>'Prices_non-Labor'!$H$35</f>
        <v>26.225448</v>
      </c>
      <c r="Q21" s="61">
        <f>U10</f>
        <v>2</v>
      </c>
      <c r="R21" s="57">
        <f>$E$13</f>
        <v>400</v>
      </c>
      <c r="S21" s="9">
        <f t="shared" si="3"/>
        <v>800</v>
      </c>
      <c r="T21" s="189">
        <f t="shared" si="0"/>
        <v>20980.358400000001</v>
      </c>
      <c r="U21" s="61" t="s">
        <v>16</v>
      </c>
      <c r="Z21" s="8"/>
    </row>
    <row r="22" spans="1:26" x14ac:dyDescent="0.25">
      <c r="A22" s="50" t="s">
        <v>39</v>
      </c>
      <c r="B22" s="9" t="s">
        <v>15</v>
      </c>
      <c r="C22" s="185">
        <f>'Prices_non-Labor'!$H$24</f>
        <v>146.41000000000008</v>
      </c>
      <c r="D22" s="58">
        <f>$G$10</f>
        <v>2</v>
      </c>
      <c r="E22" s="57">
        <f>$E$12</f>
        <v>20</v>
      </c>
      <c r="F22" s="9">
        <f t="shared" si="2"/>
        <v>40</v>
      </c>
      <c r="G22" s="189">
        <f t="shared" si="1"/>
        <v>5856.4000000000033</v>
      </c>
      <c r="H22" s="61" t="s">
        <v>16</v>
      </c>
      <c r="N22" s="50" t="s">
        <v>39</v>
      </c>
      <c r="O22" s="9" t="s">
        <v>15</v>
      </c>
      <c r="P22" s="185">
        <f>'Prices_non-Labor'!$H$24</f>
        <v>146.41000000000008</v>
      </c>
      <c r="Q22" s="61">
        <f>U10</f>
        <v>2</v>
      </c>
      <c r="R22" s="57">
        <f>$E$12</f>
        <v>20</v>
      </c>
      <c r="S22" s="9">
        <f>R22*U10</f>
        <v>40</v>
      </c>
      <c r="T22" s="189">
        <f t="shared" si="0"/>
        <v>5856.4000000000033</v>
      </c>
      <c r="U22" s="61" t="s">
        <v>16</v>
      </c>
      <c r="Z22" s="8"/>
    </row>
    <row r="23" spans="1:26" x14ac:dyDescent="0.25">
      <c r="A23" s="168"/>
      <c r="D23" s="8"/>
      <c r="E23" s="149"/>
      <c r="F23" s="174"/>
      <c r="G23" s="64"/>
      <c r="H23" s="64"/>
      <c r="K23" s="72"/>
      <c r="L23" s="64"/>
      <c r="N23" s="168"/>
      <c r="Q23" s="8"/>
      <c r="R23" s="149"/>
      <c r="S23" s="174"/>
      <c r="T23" s="64"/>
      <c r="U23" s="64"/>
      <c r="X23" s="72"/>
      <c r="Y23" s="64"/>
      <c r="Z23" s="8"/>
    </row>
    <row r="24" spans="1:26" ht="15" customHeight="1" x14ac:dyDescent="0.25">
      <c r="A24" s="175" t="s">
        <v>1</v>
      </c>
      <c r="B24" s="176" t="s">
        <v>32</v>
      </c>
      <c r="C24" s="176"/>
      <c r="D24" s="175" t="s">
        <v>69</v>
      </c>
      <c r="E24" s="175"/>
      <c r="F24" s="175"/>
      <c r="G24" s="176" t="s">
        <v>32</v>
      </c>
      <c r="H24" s="175" t="s">
        <v>70</v>
      </c>
      <c r="I24" s="175"/>
      <c r="J24" s="175"/>
      <c r="K24" s="176" t="s">
        <v>32</v>
      </c>
      <c r="L24" s="177" t="s">
        <v>45</v>
      </c>
      <c r="N24" s="175" t="s">
        <v>276</v>
      </c>
      <c r="O24" s="176" t="s">
        <v>32</v>
      </c>
      <c r="P24" s="176"/>
      <c r="Q24" s="175" t="s">
        <v>277</v>
      </c>
      <c r="R24" s="175"/>
      <c r="S24" s="175"/>
      <c r="T24" s="176" t="s">
        <v>32</v>
      </c>
      <c r="U24" s="175" t="s">
        <v>282</v>
      </c>
      <c r="V24" s="175"/>
      <c r="W24" s="175"/>
      <c r="X24" s="176" t="s">
        <v>32</v>
      </c>
      <c r="Y24" s="332" t="s">
        <v>45</v>
      </c>
      <c r="Z24" s="8"/>
    </row>
    <row r="25" spans="1:26" x14ac:dyDescent="0.25">
      <c r="A25" s="59" t="s">
        <v>71</v>
      </c>
      <c r="B25" s="186">
        <f>SUM(G14:G22)</f>
        <v>44831.565880000002</v>
      </c>
      <c r="C25" s="85"/>
      <c r="D25" s="50" t="s">
        <v>55</v>
      </c>
      <c r="E25" s="59"/>
      <c r="F25" s="50"/>
      <c r="G25" s="191">
        <f>B25/'Demographic Data'!$B$2</f>
        <v>448.31565879999999</v>
      </c>
      <c r="H25" s="115" t="s">
        <v>57</v>
      </c>
      <c r="I25" s="116"/>
      <c r="J25" s="117"/>
      <c r="K25" s="71">
        <f>SUMIFS($G$12:$G$22, $B$12:$B$22, "Materials", $H$12:$H$22, "Yes")</f>
        <v>1341.6480000000004</v>
      </c>
      <c r="L25" s="97">
        <f>K25/$B$25</f>
        <v>2.9926413982308137E-2</v>
      </c>
      <c r="N25" s="59" t="s">
        <v>291</v>
      </c>
      <c r="O25" s="186">
        <f>SUM(T14:T22)</f>
        <v>44272.545880000005</v>
      </c>
      <c r="P25" s="85"/>
      <c r="Q25" s="50" t="s">
        <v>278</v>
      </c>
      <c r="R25" s="59"/>
      <c r="S25" s="50"/>
      <c r="T25" s="191">
        <f>O25/'Demographic Data'!$B$2</f>
        <v>442.72545880000007</v>
      </c>
      <c r="U25" s="115" t="s">
        <v>283</v>
      </c>
      <c r="V25" s="116"/>
      <c r="W25" s="117"/>
      <c r="X25" s="71">
        <f>SUMIFS($T$12:$T$22, $O$12:$O$22, "Materials", $U$12:$U$22, "Yes")</f>
        <v>782.62800000000027</v>
      </c>
      <c r="Y25" s="97">
        <f>X25/$O$25</f>
        <v>1.7677501585775083E-2</v>
      </c>
      <c r="Z25" s="8"/>
    </row>
    <row r="26" spans="1:26" x14ac:dyDescent="0.25">
      <c r="A26" s="59"/>
      <c r="B26" s="65"/>
      <c r="C26" s="65"/>
      <c r="D26" s="50" t="s">
        <v>56</v>
      </c>
      <c r="E26" s="59"/>
      <c r="F26" s="50"/>
      <c r="G26" s="192">
        <f>B25/'Demographic Data'!$B$3</f>
        <v>4.4831565879999999</v>
      </c>
      <c r="H26" s="115" t="s">
        <v>59</v>
      </c>
      <c r="I26" s="116"/>
      <c r="J26" s="117"/>
      <c r="K26" s="71">
        <f>SUMIFS($G$12:$G$22, $B$12:$B$22, "Transportation", $H$12:$H$22, "Yes")</f>
        <v>15604.141560000004</v>
      </c>
      <c r="L26" s="97">
        <f>K26/$B$25</f>
        <v>0.34806148867892284</v>
      </c>
      <c r="N26" s="59"/>
      <c r="O26" s="65"/>
      <c r="P26" s="65"/>
      <c r="Q26" s="50" t="s">
        <v>279</v>
      </c>
      <c r="R26" s="59"/>
      <c r="S26" s="50"/>
      <c r="T26" s="192">
        <f>O25/'Demographic Data'!$B$3</f>
        <v>4.4272545880000003</v>
      </c>
      <c r="U26" s="115" t="s">
        <v>284</v>
      </c>
      <c r="V26" s="116"/>
      <c r="W26" s="117"/>
      <c r="X26" s="71">
        <f>SUMIFS($T$12:$T$22, $O$12:$O$22, "Transportation", $U$12:$U$22, "Yes")</f>
        <v>15604.141560000004</v>
      </c>
      <c r="Y26" s="97">
        <f>X26/$O$25</f>
        <v>0.35245638690611486</v>
      </c>
      <c r="Z26" s="8"/>
    </row>
    <row r="27" spans="1:26" x14ac:dyDescent="0.25">
      <c r="A27" s="59"/>
      <c r="B27" s="74"/>
      <c r="C27" s="82"/>
      <c r="D27" s="50" t="s">
        <v>58</v>
      </c>
      <c r="E27" s="59"/>
      <c r="F27" s="50"/>
      <c r="G27" s="192">
        <f>B25/'Demographic Data'!$B$4</f>
        <v>1.4943855293333335</v>
      </c>
      <c r="H27" s="115" t="s">
        <v>110</v>
      </c>
      <c r="I27" s="116"/>
      <c r="J27" s="117"/>
      <c r="K27" s="71">
        <f>SUMIFS($G$12:$G$22, $B$12:$B$22, "Meals/Per Diem", $H$12:$H$22, "Yes")</f>
        <v>22029.376319999999</v>
      </c>
      <c r="L27" s="97">
        <f>K27/$B$25</f>
        <v>0.4913809251937733</v>
      </c>
      <c r="N27" s="59"/>
      <c r="O27" s="74"/>
      <c r="P27" s="82"/>
      <c r="Q27" s="50" t="s">
        <v>280</v>
      </c>
      <c r="R27" s="59"/>
      <c r="S27" s="50"/>
      <c r="T27" s="192">
        <f>O25/'Demographic Data'!$B$4</f>
        <v>1.4757515293333334</v>
      </c>
      <c r="U27" s="115" t="s">
        <v>285</v>
      </c>
      <c r="V27" s="116"/>
      <c r="W27" s="117"/>
      <c r="X27" s="71">
        <f>SUMIFS($T$12:$T$22, $O$12:$O$22, "Meals/Per Diem", $U$12:$U$22, "Yes")</f>
        <v>22029.376319999999</v>
      </c>
      <c r="Y27" s="97">
        <f>X27/$O$25</f>
        <v>0.49758548739686792</v>
      </c>
      <c r="Z27" s="8"/>
    </row>
    <row r="28" spans="1:26" x14ac:dyDescent="0.25">
      <c r="A28" s="8"/>
      <c r="B28" s="8"/>
      <c r="C28" s="8"/>
      <c r="D28" s="50" t="s">
        <v>60</v>
      </c>
      <c r="E28" s="59"/>
      <c r="F28" s="75"/>
      <c r="G28" s="134">
        <f>B25/'Demographic Data'!$B$5</f>
        <v>3.7359638233333332E-2</v>
      </c>
      <c r="H28" s="433" t="s">
        <v>61</v>
      </c>
      <c r="I28" s="433"/>
      <c r="J28" s="433"/>
      <c r="K28" s="71">
        <f>SUMIFS($G$12:$G$22, $B$12:$B$22, "Facilities", $H$12:$H$22, "Yes")</f>
        <v>5856.4000000000033</v>
      </c>
      <c r="L28" s="97">
        <f>K28/$B$25</f>
        <v>0.13063117214499587</v>
      </c>
      <c r="N28" s="8"/>
      <c r="O28" s="8"/>
      <c r="P28" s="8"/>
      <c r="Q28" s="50" t="s">
        <v>281</v>
      </c>
      <c r="R28" s="59"/>
      <c r="S28" s="75"/>
      <c r="T28" s="134">
        <f>O25/'Demographic Data'!$B$5</f>
        <v>3.6893788233333336E-2</v>
      </c>
      <c r="U28" s="433" t="s">
        <v>286</v>
      </c>
      <c r="V28" s="433"/>
      <c r="W28" s="433"/>
      <c r="X28" s="71">
        <f>SUMIFS($T$12:$T$22, $O$12:$O$22, "Facilities", $U$12:$U$22, "Yes")</f>
        <v>5856.4000000000033</v>
      </c>
      <c r="Y28" s="97">
        <f>X28/$O$25</f>
        <v>0.13228062411124217</v>
      </c>
      <c r="Z28" s="8"/>
    </row>
    <row r="29" spans="1:26" x14ac:dyDescent="0.25">
      <c r="A29" s="8"/>
      <c r="B29" s="8"/>
      <c r="C29" s="8"/>
      <c r="D29" s="168"/>
      <c r="E29" s="8"/>
      <c r="F29" s="49"/>
      <c r="G29" s="73"/>
      <c r="H29" s="182"/>
      <c r="I29" s="432"/>
      <c r="J29" s="432"/>
      <c r="K29" s="432"/>
      <c r="L29" s="299">
        <f>SUM(L25:L28)</f>
        <v>1</v>
      </c>
      <c r="M29" s="282"/>
      <c r="N29" s="8"/>
      <c r="O29" s="8"/>
      <c r="P29" s="8"/>
      <c r="Q29" s="168"/>
      <c r="R29" s="8"/>
      <c r="S29" s="49"/>
      <c r="T29" s="73"/>
      <c r="U29" s="182"/>
      <c r="V29" s="432"/>
      <c r="W29" s="432"/>
      <c r="X29" s="432"/>
      <c r="Y29" s="67">
        <f>SUM(Y25:Y28)</f>
        <v>1</v>
      </c>
      <c r="Z29" s="8"/>
    </row>
    <row r="30" spans="1:26" x14ac:dyDescent="0.25">
      <c r="D30" s="168"/>
      <c r="E30" s="8"/>
      <c r="F30" s="49"/>
      <c r="G30" s="73"/>
      <c r="H30" s="8"/>
      <c r="I30" s="8"/>
      <c r="J30" s="8"/>
      <c r="K30" s="8"/>
      <c r="L30" s="67" t="s">
        <v>1</v>
      </c>
      <c r="M30" s="282"/>
      <c r="Q30" s="168"/>
      <c r="R30" s="8"/>
      <c r="S30" s="49"/>
      <c r="T30" s="73"/>
      <c r="U30" s="8"/>
      <c r="V30" s="8"/>
      <c r="W30" s="8"/>
      <c r="X30" s="8"/>
      <c r="Y30" s="67"/>
      <c r="Z30" s="8"/>
    </row>
    <row r="31" spans="1:26" x14ac:dyDescent="0.25">
      <c r="A31" s="8"/>
      <c r="B31" s="8"/>
      <c r="C31" s="8"/>
      <c r="D31" s="183"/>
      <c r="E31" s="70"/>
      <c r="F31" s="184"/>
      <c r="G31" s="8"/>
      <c r="H31" s="70"/>
      <c r="I31" s="70"/>
      <c r="J31" s="70"/>
      <c r="K31" s="145"/>
      <c r="L31" s="103"/>
      <c r="M31" s="283"/>
      <c r="N31" s="8"/>
      <c r="O31" s="8"/>
      <c r="P31" s="8"/>
      <c r="Q31" s="183"/>
      <c r="R31" s="70"/>
      <c r="S31" s="184"/>
      <c r="T31" s="8"/>
      <c r="U31" s="70"/>
      <c r="V31" s="70"/>
      <c r="W31" s="70"/>
      <c r="X31" s="145"/>
      <c r="Y31" s="103"/>
    </row>
    <row r="32" spans="1:26" x14ac:dyDescent="0.25">
      <c r="A32" s="8"/>
      <c r="B32" s="8"/>
      <c r="C32" s="8"/>
      <c r="D32" s="8"/>
      <c r="E32" s="70"/>
      <c r="F32" s="184"/>
      <c r="G32" s="8"/>
      <c r="H32" s="70"/>
      <c r="I32" s="70"/>
      <c r="J32" s="70"/>
      <c r="K32" s="145"/>
      <c r="L32" s="103"/>
      <c r="M32" s="283"/>
      <c r="N32" s="8"/>
      <c r="O32" s="8"/>
      <c r="P32" s="8"/>
      <c r="Q32" s="8"/>
      <c r="R32" s="70"/>
      <c r="S32" s="184"/>
      <c r="T32" s="8"/>
      <c r="U32" s="70"/>
      <c r="V32" s="70"/>
      <c r="W32" s="70"/>
      <c r="X32" s="145"/>
      <c r="Y32" s="103"/>
    </row>
    <row r="33" spans="1:25" x14ac:dyDescent="0.25">
      <c r="A33" s="358" t="s">
        <v>243</v>
      </c>
      <c r="B33" s="10" t="s">
        <v>217</v>
      </c>
      <c r="C33" s="10">
        <v>0.1</v>
      </c>
      <c r="D33" s="10" t="s">
        <v>218</v>
      </c>
      <c r="E33" s="277">
        <v>0.9</v>
      </c>
      <c r="F33" s="10" t="s">
        <v>74</v>
      </c>
      <c r="G33" s="372">
        <f>$G$5</f>
        <v>2</v>
      </c>
      <c r="H33" s="8"/>
      <c r="I33" s="8"/>
      <c r="J33" s="8"/>
      <c r="K33" s="8"/>
      <c r="L33" s="67"/>
      <c r="M33" s="283"/>
      <c r="N33" s="329" t="s">
        <v>313</v>
      </c>
      <c r="O33" s="10" t="s">
        <v>217</v>
      </c>
      <c r="P33" s="277">
        <v>0.1</v>
      </c>
      <c r="Q33" s="10" t="s">
        <v>218</v>
      </c>
      <c r="R33" s="277">
        <v>0.9</v>
      </c>
      <c r="S33" s="10" t="s">
        <v>74</v>
      </c>
      <c r="T33" s="329">
        <f>T4</f>
        <v>3</v>
      </c>
      <c r="U33" s="8"/>
      <c r="V33" s="8"/>
      <c r="W33" s="8"/>
      <c r="X33" s="8"/>
      <c r="Y33" s="67"/>
    </row>
    <row r="34" spans="1:25" ht="30" x14ac:dyDescent="0.25">
      <c r="A34" s="142" t="s">
        <v>1</v>
      </c>
      <c r="B34" s="144" t="s">
        <v>0</v>
      </c>
      <c r="C34" s="143" t="s">
        <v>188</v>
      </c>
      <c r="D34" s="143" t="s">
        <v>25</v>
      </c>
      <c r="E34" s="143" t="s">
        <v>20</v>
      </c>
      <c r="F34" s="143" t="s">
        <v>21</v>
      </c>
      <c r="G34" s="143" t="s">
        <v>114</v>
      </c>
      <c r="H34" s="143" t="s">
        <v>17</v>
      </c>
      <c r="I34" s="41"/>
      <c r="J34" s="48"/>
      <c r="N34" s="142" t="s">
        <v>1</v>
      </c>
      <c r="O34" s="144" t="s">
        <v>0</v>
      </c>
      <c r="P34" s="143" t="s">
        <v>188</v>
      </c>
      <c r="Q34" s="143" t="s">
        <v>25</v>
      </c>
      <c r="R34" s="143" t="s">
        <v>20</v>
      </c>
      <c r="S34" s="143" t="s">
        <v>21</v>
      </c>
      <c r="T34" s="143" t="s">
        <v>114</v>
      </c>
      <c r="U34" s="143" t="s">
        <v>17</v>
      </c>
      <c r="V34" s="41"/>
      <c r="W34" s="48"/>
    </row>
    <row r="35" spans="1:25" x14ac:dyDescent="0.25">
      <c r="A35" s="128" t="s">
        <v>84</v>
      </c>
      <c r="B35" s="129"/>
      <c r="C35" s="130"/>
      <c r="D35" s="129">
        <f>G33</f>
        <v>2</v>
      </c>
      <c r="E35" s="190">
        <v>400</v>
      </c>
      <c r="F35" s="130">
        <f>D35*E35</f>
        <v>800</v>
      </c>
      <c r="G35" s="187"/>
      <c r="H35" s="188" t="s">
        <v>18</v>
      </c>
      <c r="N35" s="128" t="s">
        <v>267</v>
      </c>
      <c r="O35" s="129"/>
      <c r="P35" s="130"/>
      <c r="Q35" s="129">
        <f>T33</f>
        <v>3</v>
      </c>
      <c r="R35" s="190">
        <v>100</v>
      </c>
      <c r="S35" s="130">
        <f>Q35*R35</f>
        <v>300</v>
      </c>
      <c r="T35" s="187"/>
      <c r="U35" s="188" t="s">
        <v>18</v>
      </c>
    </row>
    <row r="36" spans="1:25" x14ac:dyDescent="0.25">
      <c r="A36" s="129" t="s">
        <v>85</v>
      </c>
      <c r="B36" s="129"/>
      <c r="C36" s="130"/>
      <c r="D36" s="129">
        <f>G33</f>
        <v>2</v>
      </c>
      <c r="E36" s="130">
        <f>'Demographic Data'!B6</f>
        <v>1000</v>
      </c>
      <c r="F36" s="130">
        <f>D36*E36</f>
        <v>2000</v>
      </c>
      <c r="G36" s="187"/>
      <c r="H36" s="188" t="s">
        <v>18</v>
      </c>
      <c r="I36" s="41"/>
      <c r="J36" s="41"/>
      <c r="N36" s="129" t="s">
        <v>85</v>
      </c>
      <c r="O36" s="129"/>
      <c r="P36" s="130"/>
      <c r="Q36" s="129">
        <f>T33</f>
        <v>3</v>
      </c>
      <c r="R36" s="130">
        <f>'Demographic Data'!$B$6</f>
        <v>1000</v>
      </c>
      <c r="S36" s="130">
        <f>Q36*R36</f>
        <v>3000</v>
      </c>
      <c r="T36" s="187"/>
      <c r="U36" s="188" t="s">
        <v>18</v>
      </c>
      <c r="V36" s="41"/>
      <c r="W36" s="41"/>
    </row>
    <row r="37" spans="1:25" x14ac:dyDescent="0.25">
      <c r="A37" s="129" t="s">
        <v>30</v>
      </c>
      <c r="B37" s="129"/>
      <c r="C37" s="130"/>
      <c r="D37" s="129">
        <f>G33</f>
        <v>2</v>
      </c>
      <c r="E37" s="130">
        <f>'Demographic Data'!B3</f>
        <v>10000</v>
      </c>
      <c r="F37" s="130">
        <f>D37*E37</f>
        <v>20000</v>
      </c>
      <c r="G37" s="187"/>
      <c r="H37" s="188" t="s">
        <v>18</v>
      </c>
      <c r="I37" s="41"/>
      <c r="J37" s="41"/>
      <c r="N37" s="50" t="s">
        <v>26</v>
      </c>
      <c r="O37" s="9" t="s">
        <v>3</v>
      </c>
      <c r="P37" s="185">
        <f>'Prices_non-Labor'!$H$12</f>
        <v>1.5972000000000004</v>
      </c>
      <c r="Q37" s="53">
        <v>1</v>
      </c>
      <c r="R37" s="51">
        <f>R36*Q37</f>
        <v>1000</v>
      </c>
      <c r="S37" s="51">
        <f>R37*Q37</f>
        <v>1000</v>
      </c>
      <c r="T37" s="189">
        <f t="shared" ref="T37:T49" si="4">S37*P37</f>
        <v>1597.2000000000005</v>
      </c>
      <c r="U37" s="61" t="s">
        <v>16</v>
      </c>
      <c r="V37" s="137"/>
      <c r="W37" s="41"/>
    </row>
    <row r="38" spans="1:25" x14ac:dyDescent="0.25">
      <c r="A38" s="129" t="s">
        <v>19</v>
      </c>
      <c r="B38" s="129"/>
      <c r="C38" s="130"/>
      <c r="D38" s="129">
        <f>G33</f>
        <v>2</v>
      </c>
      <c r="E38" s="130">
        <f>'Demographic Data'!B4</f>
        <v>30000</v>
      </c>
      <c r="F38" s="130">
        <f>D38*E38</f>
        <v>60000</v>
      </c>
      <c r="G38" s="187"/>
      <c r="H38" s="188" t="s">
        <v>18</v>
      </c>
      <c r="I38" s="41"/>
      <c r="J38" s="41"/>
      <c r="N38" s="50" t="s">
        <v>79</v>
      </c>
      <c r="O38" s="9" t="s">
        <v>3</v>
      </c>
      <c r="P38" s="185">
        <f>'Prices_non-Labor'!$H$13</f>
        <v>1.3310000000000004</v>
      </c>
      <c r="Q38" s="53">
        <v>0.2</v>
      </c>
      <c r="R38" s="51">
        <f>SUM(R35:R36)</f>
        <v>1100</v>
      </c>
      <c r="S38" s="51">
        <f>R38*Q38</f>
        <v>220</v>
      </c>
      <c r="T38" s="189">
        <f t="shared" si="4"/>
        <v>292.82000000000011</v>
      </c>
      <c r="U38" s="61" t="s">
        <v>16</v>
      </c>
      <c r="V38" s="137"/>
      <c r="W38" s="41"/>
    </row>
    <row r="39" spans="1:25" x14ac:dyDescent="0.25">
      <c r="A39" s="50" t="s">
        <v>26</v>
      </c>
      <c r="B39" s="9" t="s">
        <v>3</v>
      </c>
      <c r="C39" s="219">
        <f>'Prices_non-Labor'!$H$12</f>
        <v>1.5972000000000004</v>
      </c>
      <c r="D39" s="53">
        <v>0.2</v>
      </c>
      <c r="E39" s="51">
        <f>SUM(E35+E36+E37+E38)</f>
        <v>41400</v>
      </c>
      <c r="F39" s="51">
        <f>E39*D39</f>
        <v>8280</v>
      </c>
      <c r="G39" s="189">
        <f>F39*C39</f>
        <v>13224.816000000003</v>
      </c>
      <c r="H39" s="61" t="s">
        <v>16</v>
      </c>
      <c r="I39" s="137"/>
      <c r="J39" s="41"/>
      <c r="N39" s="50" t="s">
        <v>292</v>
      </c>
      <c r="O39" s="9" t="s">
        <v>3</v>
      </c>
      <c r="P39" s="185">
        <f>'Prices_non-Labor'!$H$11</f>
        <v>1.3310000000000004</v>
      </c>
      <c r="Q39" s="9">
        <v>0</v>
      </c>
      <c r="R39" s="65">
        <f>$E$35</f>
        <v>400</v>
      </c>
      <c r="S39" s="51">
        <f t="shared" ref="S39:S43" si="5">Q39*R39</f>
        <v>0</v>
      </c>
      <c r="T39" s="189">
        <f t="shared" si="4"/>
        <v>0</v>
      </c>
      <c r="U39" s="61" t="s">
        <v>16</v>
      </c>
      <c r="V39" s="41"/>
      <c r="W39" s="41"/>
    </row>
    <row r="40" spans="1:25" x14ac:dyDescent="0.25">
      <c r="A40" s="50" t="s">
        <v>79</v>
      </c>
      <c r="B40" s="9" t="s">
        <v>3</v>
      </c>
      <c r="C40" s="219">
        <f>'Prices_non-Labor'!$H$13</f>
        <v>1.3310000000000004</v>
      </c>
      <c r="D40" s="53">
        <v>0.2</v>
      </c>
      <c r="E40" s="51">
        <f>SUM(E35:E38)</f>
        <v>41400</v>
      </c>
      <c r="F40" s="51">
        <f>E40*D40</f>
        <v>8280</v>
      </c>
      <c r="G40" s="189">
        <f t="shared" ref="G40:G61" si="6">F40*C40</f>
        <v>11020.680000000004</v>
      </c>
      <c r="H40" s="61" t="s">
        <v>16</v>
      </c>
      <c r="I40" s="137"/>
      <c r="J40" s="41"/>
      <c r="N40" s="9" t="s">
        <v>293</v>
      </c>
      <c r="O40" s="9" t="s">
        <v>3</v>
      </c>
      <c r="P40" s="185">
        <f>'Prices_non-Labor'!$H$11</f>
        <v>1.3310000000000004</v>
      </c>
      <c r="Q40" s="9">
        <v>1</v>
      </c>
      <c r="R40" s="65">
        <f>$E$36</f>
        <v>1000</v>
      </c>
      <c r="S40" s="51">
        <f t="shared" si="5"/>
        <v>1000</v>
      </c>
      <c r="T40" s="189">
        <f t="shared" si="4"/>
        <v>1331.0000000000005</v>
      </c>
      <c r="U40" s="61" t="s">
        <v>16</v>
      </c>
      <c r="V40" s="41"/>
      <c r="W40" s="41"/>
    </row>
    <row r="41" spans="1:25" x14ac:dyDescent="0.25">
      <c r="A41" s="50" t="s">
        <v>83</v>
      </c>
      <c r="B41" s="9" t="s">
        <v>3</v>
      </c>
      <c r="C41" s="219">
        <f>'Prices_non-Labor'!$H$11</f>
        <v>1.3310000000000004</v>
      </c>
      <c r="D41" s="9">
        <v>1</v>
      </c>
      <c r="E41" s="65">
        <f>$E$35</f>
        <v>400</v>
      </c>
      <c r="F41" s="51">
        <f t="shared" ref="F41:F47" si="7">D41*E41</f>
        <v>400</v>
      </c>
      <c r="G41" s="189">
        <f t="shared" si="6"/>
        <v>532.4000000000002</v>
      </c>
      <c r="H41" s="61" t="s">
        <v>16</v>
      </c>
      <c r="I41" s="41"/>
      <c r="J41" s="41"/>
      <c r="N41" s="50" t="s">
        <v>201</v>
      </c>
      <c r="O41" s="9" t="s">
        <v>41</v>
      </c>
      <c r="P41" s="186">
        <f>'Prices_non-Labor'!$H$30</f>
        <v>14.751814500000004</v>
      </c>
      <c r="Q41" s="52">
        <f>$T$33</f>
        <v>3</v>
      </c>
      <c r="R41" s="105">
        <f>$E$35*$E$33</f>
        <v>360</v>
      </c>
      <c r="S41" s="133">
        <f t="shared" si="5"/>
        <v>1080</v>
      </c>
      <c r="T41" s="189">
        <f t="shared" si="4"/>
        <v>15931.959660000004</v>
      </c>
      <c r="U41" s="61" t="s">
        <v>16</v>
      </c>
      <c r="V41" s="41"/>
      <c r="W41" s="41"/>
    </row>
    <row r="42" spans="1:25" x14ac:dyDescent="0.25">
      <c r="A42" s="9" t="s">
        <v>86</v>
      </c>
      <c r="B42" s="9" t="s">
        <v>3</v>
      </c>
      <c r="C42" s="219">
        <f>'Prices_non-Labor'!$H$11</f>
        <v>1.3310000000000004</v>
      </c>
      <c r="D42" s="9">
        <v>0.2</v>
      </c>
      <c r="E42" s="65">
        <f>$E$36</f>
        <v>1000</v>
      </c>
      <c r="F42" s="51">
        <f t="shared" si="7"/>
        <v>200</v>
      </c>
      <c r="G42" s="189">
        <f t="shared" si="6"/>
        <v>266.2000000000001</v>
      </c>
      <c r="H42" s="61" t="s">
        <v>16</v>
      </c>
      <c r="I42" s="41"/>
      <c r="J42" s="41"/>
      <c r="N42" s="50" t="s">
        <v>203</v>
      </c>
      <c r="O42" s="9" t="s">
        <v>41</v>
      </c>
      <c r="P42" s="186">
        <f>'Prices_non-Labor'!$H$36</f>
        <v>37.152718000000007</v>
      </c>
      <c r="Q42" s="9">
        <v>1</v>
      </c>
      <c r="R42" s="105">
        <f>$E$35*$C$33</f>
        <v>40</v>
      </c>
      <c r="S42" s="51">
        <f t="shared" si="5"/>
        <v>40</v>
      </c>
      <c r="T42" s="189">
        <f t="shared" si="4"/>
        <v>1486.1087200000002</v>
      </c>
      <c r="U42" s="61" t="s">
        <v>16</v>
      </c>
      <c r="V42" s="41"/>
      <c r="W42" s="41"/>
      <c r="X42" s="8"/>
    </row>
    <row r="43" spans="1:25" x14ac:dyDescent="0.25">
      <c r="A43" s="9" t="s">
        <v>31</v>
      </c>
      <c r="B43" s="9" t="s">
        <v>3</v>
      </c>
      <c r="C43" s="219">
        <f>'Prices_non-Labor'!$H$11</f>
        <v>1.3310000000000004</v>
      </c>
      <c r="D43" s="9">
        <v>0.2</v>
      </c>
      <c r="E43" s="65">
        <f>$E$37</f>
        <v>10000</v>
      </c>
      <c r="F43" s="51">
        <f t="shared" si="7"/>
        <v>2000</v>
      </c>
      <c r="G43" s="189">
        <f t="shared" si="6"/>
        <v>2662.0000000000009</v>
      </c>
      <c r="H43" s="61" t="s">
        <v>16</v>
      </c>
      <c r="I43" s="41"/>
      <c r="J43" s="41"/>
      <c r="N43" s="9" t="s">
        <v>198</v>
      </c>
      <c r="O43" s="9" t="s">
        <v>41</v>
      </c>
      <c r="P43" s="186">
        <f>'Prices_non-Labor'!$H$30</f>
        <v>14.751814500000004</v>
      </c>
      <c r="Q43" s="52">
        <f>$T$33</f>
        <v>3</v>
      </c>
      <c r="R43" s="105">
        <f>R36*$E$33</f>
        <v>900</v>
      </c>
      <c r="S43" s="51">
        <f t="shared" si="5"/>
        <v>2700</v>
      </c>
      <c r="T43" s="189">
        <f t="shared" si="4"/>
        <v>39829.899150000012</v>
      </c>
      <c r="U43" s="61" t="s">
        <v>16</v>
      </c>
      <c r="V43" s="41"/>
      <c r="W43" s="41"/>
    </row>
    <row r="44" spans="1:25" x14ac:dyDescent="0.25">
      <c r="A44" s="9" t="s">
        <v>27</v>
      </c>
      <c r="B44" s="9" t="s">
        <v>3</v>
      </c>
      <c r="C44" s="219">
        <f>'Prices_non-Labor'!$H$11</f>
        <v>1.3310000000000004</v>
      </c>
      <c r="D44" s="9">
        <v>0.2</v>
      </c>
      <c r="E44" s="65">
        <f>$E$38</f>
        <v>30000</v>
      </c>
      <c r="F44" s="51">
        <f t="shared" si="7"/>
        <v>6000</v>
      </c>
      <c r="G44" s="189">
        <f t="shared" si="6"/>
        <v>7986.0000000000027</v>
      </c>
      <c r="H44" s="61" t="s">
        <v>16</v>
      </c>
      <c r="I44" s="41"/>
      <c r="J44" s="41"/>
      <c r="N44" s="9" t="s">
        <v>204</v>
      </c>
      <c r="O44" s="9" t="s">
        <v>41</v>
      </c>
      <c r="P44" s="186">
        <f>'Prices_non-Labor'!$H$36</f>
        <v>37.152718000000007</v>
      </c>
      <c r="Q44" s="9">
        <v>1</v>
      </c>
      <c r="R44" s="45">
        <f>$E$36*P33</f>
        <v>100</v>
      </c>
      <c r="S44" s="65">
        <f>R44*Q44</f>
        <v>100</v>
      </c>
      <c r="T44" s="189">
        <f t="shared" si="4"/>
        <v>3715.2718000000009</v>
      </c>
      <c r="U44" s="61" t="s">
        <v>16</v>
      </c>
      <c r="V44" s="41"/>
      <c r="W44" s="41"/>
    </row>
    <row r="45" spans="1:25" x14ac:dyDescent="0.25">
      <c r="A45" s="50" t="s">
        <v>201</v>
      </c>
      <c r="B45" s="9" t="s">
        <v>41</v>
      </c>
      <c r="C45" s="218">
        <f>'Prices_non-Labor'!$H$30</f>
        <v>14.751814500000004</v>
      </c>
      <c r="D45" s="52">
        <f>$G$33</f>
        <v>2</v>
      </c>
      <c r="E45" s="105">
        <f>E35*E33</f>
        <v>360</v>
      </c>
      <c r="F45" s="133">
        <f t="shared" si="7"/>
        <v>720</v>
      </c>
      <c r="G45" s="189">
        <f t="shared" si="6"/>
        <v>10621.306440000002</v>
      </c>
      <c r="H45" s="61" t="s">
        <v>16</v>
      </c>
      <c r="I45" s="41"/>
      <c r="J45" s="41"/>
      <c r="N45" s="50" t="s">
        <v>201</v>
      </c>
      <c r="O45" s="9" t="s">
        <v>109</v>
      </c>
      <c r="P45" s="65">
        <f>'Prices_non-Labor'!$H$29</f>
        <v>7.1027255</v>
      </c>
      <c r="Q45" s="52">
        <f>$T$33</f>
        <v>3</v>
      </c>
      <c r="R45" s="105">
        <f>$E$35*$E$33</f>
        <v>360</v>
      </c>
      <c r="S45" s="133">
        <f>Q45*R45</f>
        <v>1080</v>
      </c>
      <c r="T45" s="189">
        <f t="shared" si="4"/>
        <v>7670.9435400000002</v>
      </c>
      <c r="U45" s="61" t="s">
        <v>16</v>
      </c>
      <c r="V45" s="54"/>
      <c r="W45" s="54"/>
    </row>
    <row r="46" spans="1:25" x14ac:dyDescent="0.25">
      <c r="A46" s="50" t="s">
        <v>203</v>
      </c>
      <c r="B46" s="9" t="s">
        <v>41</v>
      </c>
      <c r="C46" s="185">
        <f>'Prices_non-Labor'!$H$36</f>
        <v>37.152718000000007</v>
      </c>
      <c r="D46" s="9">
        <v>1</v>
      </c>
      <c r="E46" s="65">
        <f>$E$35*C33</f>
        <v>40</v>
      </c>
      <c r="F46" s="51">
        <f t="shared" si="7"/>
        <v>40</v>
      </c>
      <c r="G46" s="189">
        <f t="shared" si="6"/>
        <v>1486.1087200000002</v>
      </c>
      <c r="H46" s="61" t="s">
        <v>16</v>
      </c>
      <c r="I46" s="41"/>
      <c r="J46" s="41"/>
      <c r="N46" s="50" t="s">
        <v>203</v>
      </c>
      <c r="O46" s="9" t="s">
        <v>109</v>
      </c>
      <c r="P46" s="65">
        <f>'Prices_non-Labor'!$H$35</f>
        <v>26.225448</v>
      </c>
      <c r="Q46" s="52">
        <f t="shared" ref="Q46:Q49" si="8">$T$33</f>
        <v>3</v>
      </c>
      <c r="R46" s="65">
        <f>$E$35*P33</f>
        <v>40</v>
      </c>
      <c r="S46" s="51">
        <f>Q46*R46</f>
        <v>120</v>
      </c>
      <c r="T46" s="189">
        <f t="shared" si="4"/>
        <v>3147.0537599999998</v>
      </c>
      <c r="U46" s="61" t="s">
        <v>16</v>
      </c>
      <c r="V46" s="54"/>
      <c r="W46" s="54"/>
    </row>
    <row r="47" spans="1:25" x14ac:dyDescent="0.25">
      <c r="A47" s="9" t="s">
        <v>198</v>
      </c>
      <c r="B47" s="9" t="s">
        <v>41</v>
      </c>
      <c r="C47" s="218">
        <f>'Prices_non-Labor'!$H$30</f>
        <v>14.751814500000004</v>
      </c>
      <c r="D47" s="52">
        <f>$G$33</f>
        <v>2</v>
      </c>
      <c r="E47" s="65">
        <f>$E$36*E33</f>
        <v>900</v>
      </c>
      <c r="F47" s="51">
        <f t="shared" si="7"/>
        <v>1800</v>
      </c>
      <c r="G47" s="189">
        <f t="shared" si="6"/>
        <v>26553.266100000008</v>
      </c>
      <c r="H47" s="61" t="s">
        <v>16</v>
      </c>
      <c r="I47" s="41"/>
      <c r="J47" s="41"/>
      <c r="N47" s="9" t="s">
        <v>198</v>
      </c>
      <c r="O47" s="9" t="s">
        <v>109</v>
      </c>
      <c r="P47" s="65">
        <f>'Prices_non-Labor'!$H$29</f>
        <v>7.1027255</v>
      </c>
      <c r="Q47" s="52">
        <f t="shared" si="8"/>
        <v>3</v>
      </c>
      <c r="R47" s="65">
        <f>$E$36*R33</f>
        <v>900</v>
      </c>
      <c r="S47" s="51">
        <f>Q47*R47</f>
        <v>2700</v>
      </c>
      <c r="T47" s="189">
        <f t="shared" si="4"/>
        <v>19177.358850000001</v>
      </c>
      <c r="U47" s="61" t="s">
        <v>16</v>
      </c>
      <c r="V47" s="135"/>
      <c r="W47" s="69"/>
      <c r="X47" s="8"/>
      <c r="Y47" s="8"/>
    </row>
    <row r="48" spans="1:25" x14ac:dyDescent="0.25">
      <c r="A48" s="9" t="s">
        <v>204</v>
      </c>
      <c r="B48" s="9" t="s">
        <v>41</v>
      </c>
      <c r="C48" s="185">
        <f>'Prices_non-Labor'!$H$36</f>
        <v>37.152718000000007</v>
      </c>
      <c r="D48" s="9">
        <v>1</v>
      </c>
      <c r="E48" s="45">
        <f>$E$36*C33</f>
        <v>100</v>
      </c>
      <c r="F48" s="65">
        <f>E48*D48</f>
        <v>100</v>
      </c>
      <c r="G48" s="189">
        <f t="shared" si="6"/>
        <v>3715.2718000000009</v>
      </c>
      <c r="H48" s="61" t="s">
        <v>16</v>
      </c>
      <c r="I48" s="41"/>
      <c r="J48" s="41"/>
      <c r="N48" s="9" t="s">
        <v>204</v>
      </c>
      <c r="O48" s="9" t="s">
        <v>109</v>
      </c>
      <c r="P48" s="65">
        <f>'Prices_non-Labor'!$H$35</f>
        <v>26.225448</v>
      </c>
      <c r="Q48" s="52">
        <f t="shared" si="8"/>
        <v>3</v>
      </c>
      <c r="R48" s="45">
        <f>$E$36*P33</f>
        <v>100</v>
      </c>
      <c r="S48" s="65">
        <f>R48*Q48</f>
        <v>300</v>
      </c>
      <c r="T48" s="189">
        <f t="shared" si="4"/>
        <v>7867.6343999999999</v>
      </c>
      <c r="U48" s="61" t="s">
        <v>16</v>
      </c>
      <c r="V48" s="135"/>
      <c r="W48" s="69"/>
      <c r="X48" s="8"/>
      <c r="Y48" s="8"/>
    </row>
    <row r="49" spans="1:26" x14ac:dyDescent="0.25">
      <c r="A49" s="9" t="s">
        <v>199</v>
      </c>
      <c r="B49" s="9" t="s">
        <v>41</v>
      </c>
      <c r="C49" s="218">
        <f>'Prices_non-Labor'!$H$30</f>
        <v>14.751814500000004</v>
      </c>
      <c r="D49" s="52">
        <f>$G$33</f>
        <v>2</v>
      </c>
      <c r="E49" s="65">
        <f>$E$37*E33</f>
        <v>9000</v>
      </c>
      <c r="F49" s="51">
        <f>D49*E49</f>
        <v>18000</v>
      </c>
      <c r="G49" s="189">
        <f t="shared" si="6"/>
        <v>265532.66100000008</v>
      </c>
      <c r="H49" s="61" t="s">
        <v>16</v>
      </c>
      <c r="I49" s="41"/>
      <c r="J49" s="41"/>
      <c r="N49" s="9" t="s">
        <v>39</v>
      </c>
      <c r="O49" s="9" t="s">
        <v>15</v>
      </c>
      <c r="P49" s="185">
        <f>'Prices_non-Labor'!$H$24</f>
        <v>146.41000000000008</v>
      </c>
      <c r="Q49" s="52">
        <f t="shared" si="8"/>
        <v>3</v>
      </c>
      <c r="R49" s="59">
        <v>400</v>
      </c>
      <c r="S49" s="65">
        <f>Q49*R49</f>
        <v>1200</v>
      </c>
      <c r="T49" s="189">
        <f t="shared" si="4"/>
        <v>175692.00000000009</v>
      </c>
      <c r="U49" s="61" t="s">
        <v>16</v>
      </c>
      <c r="V49" s="131"/>
      <c r="W49" s="131"/>
      <c r="X49" s="8"/>
      <c r="Y49" s="8"/>
    </row>
    <row r="50" spans="1:26" x14ac:dyDescent="0.25">
      <c r="A50" s="9" t="s">
        <v>205</v>
      </c>
      <c r="B50" s="9" t="s">
        <v>41</v>
      </c>
      <c r="C50" s="185">
        <f>'Prices_non-Labor'!$H$36</f>
        <v>37.152718000000007</v>
      </c>
      <c r="D50" s="9">
        <v>1</v>
      </c>
      <c r="E50" s="45">
        <f>$E$37*C33</f>
        <v>1000</v>
      </c>
      <c r="F50" s="65">
        <f>E50*D50</f>
        <v>1000</v>
      </c>
      <c r="G50" s="189">
        <f t="shared" si="6"/>
        <v>37152.718000000008</v>
      </c>
      <c r="H50" s="61" t="s">
        <v>16</v>
      </c>
      <c r="I50" s="41"/>
      <c r="J50" s="41"/>
      <c r="Q50" s="103"/>
      <c r="R50" s="70"/>
      <c r="S50" s="126"/>
      <c r="U50" s="8"/>
      <c r="V50" s="72"/>
      <c r="W50" s="72"/>
      <c r="X50" s="127"/>
      <c r="Y50" s="64"/>
    </row>
    <row r="51" spans="1:26" ht="45" x14ac:dyDescent="0.25">
      <c r="A51" s="9" t="s">
        <v>200</v>
      </c>
      <c r="B51" s="9" t="s">
        <v>41</v>
      </c>
      <c r="C51" s="218">
        <f>'Prices_non-Labor'!$H$30</f>
        <v>14.751814500000004</v>
      </c>
      <c r="D51" s="52">
        <f>$G$33</f>
        <v>2</v>
      </c>
      <c r="E51" s="65">
        <f>$E$38*E33</f>
        <v>27000</v>
      </c>
      <c r="F51" s="51">
        <f>D51*E51</f>
        <v>54000</v>
      </c>
      <c r="G51" s="189">
        <f t="shared" si="6"/>
        <v>796597.98300000024</v>
      </c>
      <c r="H51" s="61" t="s">
        <v>16</v>
      </c>
      <c r="I51" s="41"/>
      <c r="J51" s="41"/>
      <c r="N51" s="178" t="s">
        <v>1</v>
      </c>
      <c r="O51" s="176" t="s">
        <v>32</v>
      </c>
      <c r="P51" s="176"/>
      <c r="Q51" s="178" t="s">
        <v>1</v>
      </c>
      <c r="R51" s="179"/>
      <c r="S51" s="179"/>
      <c r="T51" s="180" t="s">
        <v>32</v>
      </c>
      <c r="U51" s="178" t="s">
        <v>1</v>
      </c>
      <c r="V51" s="179"/>
      <c r="W51" s="179"/>
      <c r="X51" s="175" t="s">
        <v>32</v>
      </c>
      <c r="Y51" s="332" t="s">
        <v>45</v>
      </c>
    </row>
    <row r="52" spans="1:26" x14ac:dyDescent="0.25">
      <c r="A52" s="9" t="s">
        <v>206</v>
      </c>
      <c r="B52" s="9" t="s">
        <v>41</v>
      </c>
      <c r="C52" s="185">
        <f>'Prices_non-Labor'!$H$36</f>
        <v>37.152718000000007</v>
      </c>
      <c r="D52" s="9">
        <v>1</v>
      </c>
      <c r="E52" s="45">
        <f>$E$38*C33</f>
        <v>3000</v>
      </c>
      <c r="F52" s="51">
        <f>D52*E52</f>
        <v>3000</v>
      </c>
      <c r="G52" s="189">
        <f t="shared" si="6"/>
        <v>111458.15400000002</v>
      </c>
      <c r="H52" s="61" t="s">
        <v>16</v>
      </c>
      <c r="I52" s="54" t="s">
        <v>1</v>
      </c>
      <c r="J52" s="54"/>
      <c r="N52" s="59" t="s">
        <v>268</v>
      </c>
      <c r="O52" s="186">
        <f>SUM(T37:T49)</f>
        <v>277739.24988000008</v>
      </c>
      <c r="P52" s="79"/>
      <c r="Q52" s="427" t="s">
        <v>269</v>
      </c>
      <c r="R52" s="428"/>
      <c r="S52" s="429"/>
      <c r="T52" s="84">
        <f>O52/'Demographic Data'!$B$3</f>
        <v>27.773924988000008</v>
      </c>
      <c r="U52" s="115" t="s">
        <v>272</v>
      </c>
      <c r="V52" s="116"/>
      <c r="W52" s="117"/>
      <c r="X52" s="71">
        <f>SUMIFS($T$37:$T$49, $O$37:$O$49, "Materials", $U$37:$U$49, "Yes")</f>
        <v>3221.0200000000013</v>
      </c>
      <c r="Y52" s="97">
        <f>X52/$O$52</f>
        <v>1.159728054782201E-2</v>
      </c>
    </row>
    <row r="53" spans="1:26" x14ac:dyDescent="0.25">
      <c r="A53" s="50" t="s">
        <v>201</v>
      </c>
      <c r="B53" s="9" t="s">
        <v>109</v>
      </c>
      <c r="C53" s="76">
        <f>'Prices_non-Labor'!$H$29</f>
        <v>7.1027255</v>
      </c>
      <c r="D53" s="52">
        <f>$G$33</f>
        <v>2</v>
      </c>
      <c r="E53" s="105">
        <f>$E$35*E33</f>
        <v>360</v>
      </c>
      <c r="F53" s="133">
        <f>D53*E53</f>
        <v>720</v>
      </c>
      <c r="G53" s="189">
        <f t="shared" si="6"/>
        <v>5113.9623600000004</v>
      </c>
      <c r="H53" s="61" t="s">
        <v>16</v>
      </c>
      <c r="I53" s="54"/>
      <c r="J53" s="54"/>
      <c r="N53" s="59"/>
      <c r="O53" s="74"/>
      <c r="P53" s="71"/>
      <c r="Q53" s="427" t="s">
        <v>270</v>
      </c>
      <c r="R53" s="428"/>
      <c r="S53" s="429"/>
      <c r="T53" s="84">
        <f>O52/'Demographic Data'!$B$4</f>
        <v>9.2579749960000033</v>
      </c>
      <c r="U53" s="115" t="s">
        <v>273</v>
      </c>
      <c r="V53" s="116"/>
      <c r="W53" s="117"/>
      <c r="X53" s="71">
        <f>SUMIFS($T$37:$T$49, $O$37:$O$49, "Transportation", $U$37:$U$49, "Yes")</f>
        <v>60963.239330000019</v>
      </c>
      <c r="Y53" s="97">
        <f>X53/$O$52</f>
        <v>0.21949810607013512</v>
      </c>
    </row>
    <row r="54" spans="1:26" x14ac:dyDescent="0.25">
      <c r="A54" s="50" t="s">
        <v>203</v>
      </c>
      <c r="B54" s="9" t="s">
        <v>109</v>
      </c>
      <c r="C54" s="185">
        <f>'Prices_non-Labor'!$H$35</f>
        <v>26.225448</v>
      </c>
      <c r="D54" s="52">
        <f t="shared" ref="D54:D61" si="9">$G$33</f>
        <v>2</v>
      </c>
      <c r="E54" s="65">
        <f>$E$35*C33</f>
        <v>40</v>
      </c>
      <c r="F54" s="51">
        <f>D54*E54</f>
        <v>80</v>
      </c>
      <c r="G54" s="189">
        <f t="shared" si="6"/>
        <v>2098.03584</v>
      </c>
      <c r="H54" s="61" t="s">
        <v>16</v>
      </c>
      <c r="I54" s="54"/>
      <c r="J54" s="54"/>
      <c r="N54" s="62"/>
      <c r="O54" s="83"/>
      <c r="P54" s="82"/>
      <c r="Q54" s="427" t="s">
        <v>271</v>
      </c>
      <c r="R54" s="428"/>
      <c r="S54" s="429"/>
      <c r="T54" s="228">
        <f>O52/'Demographic Data'!$B$5</f>
        <v>0.23144937490000006</v>
      </c>
      <c r="U54" s="116" t="s">
        <v>274</v>
      </c>
      <c r="V54" s="116"/>
      <c r="W54" s="117"/>
      <c r="X54" s="71">
        <f>SUMIFS($T$37:$T$49, $O$37:$O$49, "Meals/Per Diem", $U$37:$U$49, "Yes")</f>
        <v>37862.990550000002</v>
      </c>
      <c r="Y54" s="97">
        <f>X54/$O$52</f>
        <v>0.13632567440993332</v>
      </c>
    </row>
    <row r="55" spans="1:26" s="8" customFormat="1" x14ac:dyDescent="0.25">
      <c r="A55" s="9" t="s">
        <v>198</v>
      </c>
      <c r="B55" s="9" t="s">
        <v>109</v>
      </c>
      <c r="C55" s="76">
        <f>'Prices_non-Labor'!$H$29</f>
        <v>7.1027255</v>
      </c>
      <c r="D55" s="52">
        <f t="shared" si="9"/>
        <v>2</v>
      </c>
      <c r="E55" s="65">
        <f>$E$36*E33</f>
        <v>900</v>
      </c>
      <c r="F55" s="51">
        <f>D55*E55</f>
        <v>1800</v>
      </c>
      <c r="G55" s="189">
        <f t="shared" si="6"/>
        <v>12784.9059</v>
      </c>
      <c r="H55" s="61" t="s">
        <v>16</v>
      </c>
      <c r="I55" s="135"/>
      <c r="J55" s="69"/>
      <c r="M55" s="7"/>
      <c r="N55" s="48"/>
      <c r="O55" s="48"/>
      <c r="P55" s="48"/>
      <c r="Q55" s="430"/>
      <c r="R55" s="430"/>
      <c r="S55" s="430"/>
      <c r="T55" s="193"/>
      <c r="U55" s="59" t="s">
        <v>275</v>
      </c>
      <c r="V55" s="59"/>
      <c r="W55" s="59"/>
      <c r="X55" s="71">
        <f>SUMIFS($T$37:$T$49, $O$37:$O$49, "Facilities", $U$37:$U$49, "Yes")</f>
        <v>175692.00000000009</v>
      </c>
      <c r="Y55" s="97">
        <f>X55/$O$52</f>
        <v>0.63257893897210971</v>
      </c>
      <c r="Z55"/>
    </row>
    <row r="56" spans="1:26" s="8" customFormat="1" x14ac:dyDescent="0.25">
      <c r="A56" s="9" t="s">
        <v>204</v>
      </c>
      <c r="B56" s="9" t="s">
        <v>109</v>
      </c>
      <c r="C56" s="185">
        <f>'Prices_non-Labor'!$H$35</f>
        <v>26.225448</v>
      </c>
      <c r="D56" s="52">
        <f t="shared" si="9"/>
        <v>2</v>
      </c>
      <c r="E56" s="45">
        <f>$E$36*C33</f>
        <v>100</v>
      </c>
      <c r="F56" s="65">
        <f>E56*D56</f>
        <v>200</v>
      </c>
      <c r="G56" s="189">
        <f t="shared" si="6"/>
        <v>5245.0896000000002</v>
      </c>
      <c r="H56" s="61" t="s">
        <v>16</v>
      </c>
      <c r="I56" s="135"/>
      <c r="J56" s="69"/>
      <c r="M56" s="7"/>
      <c r="P56" s="48"/>
      <c r="V56" s="431"/>
      <c r="W56" s="432"/>
      <c r="X56" s="432"/>
      <c r="Y56" s="67">
        <f>SUM(Y52:Y55)</f>
        <v>1</v>
      </c>
      <c r="Z56"/>
    </row>
    <row r="57" spans="1:26" s="8" customFormat="1" x14ac:dyDescent="0.25">
      <c r="A57" s="9" t="s">
        <v>199</v>
      </c>
      <c r="B57" s="9" t="s">
        <v>109</v>
      </c>
      <c r="C57" s="76">
        <f>'Prices_non-Labor'!$H$29</f>
        <v>7.1027255</v>
      </c>
      <c r="D57" s="52">
        <f t="shared" si="9"/>
        <v>2</v>
      </c>
      <c r="E57" s="65">
        <f>$E$37*E33</f>
        <v>9000</v>
      </c>
      <c r="F57" s="51">
        <f>D57*E57</f>
        <v>18000</v>
      </c>
      <c r="G57" s="189">
        <f t="shared" si="6"/>
        <v>127849.05899999999</v>
      </c>
      <c r="H57" s="61" t="s">
        <v>16</v>
      </c>
      <c r="I57" s="135"/>
      <c r="J57" s="69"/>
      <c r="M57" s="7"/>
      <c r="N57"/>
      <c r="O57"/>
      <c r="P57"/>
      <c r="Q57"/>
      <c r="R57"/>
      <c r="S57"/>
      <c r="T57"/>
      <c r="U57"/>
      <c r="V57"/>
      <c r="W57"/>
      <c r="X57"/>
      <c r="Y57"/>
      <c r="Z57"/>
    </row>
    <row r="58" spans="1:26" s="8" customFormat="1" ht="75" x14ac:dyDescent="0.25">
      <c r="A58" s="9" t="s">
        <v>205</v>
      </c>
      <c r="B58" s="9" t="s">
        <v>109</v>
      </c>
      <c r="C58" s="185">
        <f>'Prices_non-Labor'!$H$35</f>
        <v>26.225448</v>
      </c>
      <c r="D58" s="52">
        <f t="shared" si="9"/>
        <v>2</v>
      </c>
      <c r="E58" s="45">
        <f>$E$37*C33</f>
        <v>1000</v>
      </c>
      <c r="F58" s="65">
        <f>E58*D58</f>
        <v>2000</v>
      </c>
      <c r="G58" s="189">
        <f t="shared" si="6"/>
        <v>52450.896000000001</v>
      </c>
      <c r="H58" s="61" t="s">
        <v>16</v>
      </c>
      <c r="I58" s="135"/>
      <c r="J58" s="69"/>
      <c r="M58" s="7"/>
      <c r="N58" s="161" t="s">
        <v>288</v>
      </c>
      <c r="O58" s="144" t="s">
        <v>0</v>
      </c>
      <c r="P58" s="143" t="s">
        <v>188</v>
      </c>
      <c r="Q58" s="143" t="s">
        <v>25</v>
      </c>
      <c r="R58" s="143" t="s">
        <v>20</v>
      </c>
      <c r="S58" s="143" t="s">
        <v>21</v>
      </c>
      <c r="T58" s="143" t="s">
        <v>114</v>
      </c>
      <c r="U58" s="143" t="s">
        <v>17</v>
      </c>
      <c r="V58" s="320"/>
      <c r="W58" s="320"/>
      <c r="X58" s="320"/>
      <c r="Y58" s="321"/>
      <c r="Z58"/>
    </row>
    <row r="59" spans="1:26" s="8" customFormat="1" x14ac:dyDescent="0.25">
      <c r="A59" s="9" t="s">
        <v>202</v>
      </c>
      <c r="B59" s="9" t="s">
        <v>109</v>
      </c>
      <c r="C59" s="76">
        <f>'Prices_non-Labor'!$H$29</f>
        <v>7.1027255</v>
      </c>
      <c r="D59" s="52">
        <f t="shared" si="9"/>
        <v>2</v>
      </c>
      <c r="E59" s="65">
        <f>$E$38*E33</f>
        <v>27000</v>
      </c>
      <c r="F59" s="51">
        <f>D59*E59</f>
        <v>54000</v>
      </c>
      <c r="G59" s="189">
        <f t="shared" si="6"/>
        <v>383547.17700000003</v>
      </c>
      <c r="H59" s="61" t="s">
        <v>16</v>
      </c>
      <c r="I59" s="135"/>
      <c r="J59" s="69"/>
      <c r="M59" s="7"/>
      <c r="N59" s="9" t="s">
        <v>85</v>
      </c>
      <c r="O59" s="9" t="s">
        <v>2</v>
      </c>
      <c r="P59" s="9"/>
      <c r="Q59" s="52">
        <f>$X$3</f>
        <v>9</v>
      </c>
      <c r="R59" s="65">
        <f>'Demographic Data'!$B$3</f>
        <v>10000</v>
      </c>
      <c r="S59" s="51">
        <f>R59*Q59</f>
        <v>90000</v>
      </c>
      <c r="T59" s="322"/>
      <c r="U59" s="61" t="s">
        <v>18</v>
      </c>
      <c r="V59" s="322"/>
      <c r="W59" s="45"/>
      <c r="X59" s="45"/>
      <c r="Y59" s="61"/>
      <c r="Z59"/>
    </row>
    <row r="60" spans="1:26" s="8" customFormat="1" x14ac:dyDescent="0.25">
      <c r="A60" s="9" t="s">
        <v>207</v>
      </c>
      <c r="B60" s="9" t="s">
        <v>109</v>
      </c>
      <c r="C60" s="185">
        <f>'Prices_non-Labor'!$H$35</f>
        <v>26.225448</v>
      </c>
      <c r="D60" s="52">
        <f t="shared" si="9"/>
        <v>2</v>
      </c>
      <c r="E60" s="45">
        <f>$E$38*C33</f>
        <v>3000</v>
      </c>
      <c r="F60" s="51">
        <f>D60*E60</f>
        <v>6000</v>
      </c>
      <c r="G60" s="189">
        <f>F60*C60</f>
        <v>157352.68799999999</v>
      </c>
      <c r="H60" s="61" t="s">
        <v>16</v>
      </c>
      <c r="I60" s="131"/>
      <c r="J60" s="131"/>
      <c r="M60" s="7"/>
      <c r="N60" s="9" t="s">
        <v>85</v>
      </c>
      <c r="O60" s="9" t="s">
        <v>41</v>
      </c>
      <c r="P60" s="195">
        <f>'Prices_non-Labor'!$H$46</f>
        <v>11.893627210884354</v>
      </c>
      <c r="Q60" s="52">
        <f t="shared" ref="Q60:Q62" si="10">$X$3</f>
        <v>9</v>
      </c>
      <c r="R60" s="65">
        <f>'Demographic Data'!$B$3</f>
        <v>10000</v>
      </c>
      <c r="S60" s="51">
        <f>Q60*R60/3</f>
        <v>30000</v>
      </c>
      <c r="T60" s="322">
        <f>SUM(S60*P60)</f>
        <v>356808.81632653059</v>
      </c>
      <c r="U60" s="61" t="s">
        <v>16</v>
      </c>
      <c r="V60" s="322"/>
      <c r="W60" s="45"/>
      <c r="X60" s="45"/>
      <c r="Y60" s="61"/>
      <c r="Z60"/>
    </row>
    <row r="61" spans="1:26" s="8" customFormat="1" x14ac:dyDescent="0.25">
      <c r="A61" s="9" t="s">
        <v>39</v>
      </c>
      <c r="B61" s="9" t="s">
        <v>15</v>
      </c>
      <c r="C61" s="185">
        <f>'Prices_non-Labor'!$H$24</f>
        <v>146.41000000000008</v>
      </c>
      <c r="D61" s="52">
        <f t="shared" si="9"/>
        <v>2</v>
      </c>
      <c r="E61" s="59">
        <v>500</v>
      </c>
      <c r="F61" s="65">
        <f>D61*E61</f>
        <v>1000</v>
      </c>
      <c r="G61" s="189">
        <f t="shared" si="6"/>
        <v>146410.00000000009</v>
      </c>
      <c r="H61" s="61" t="s">
        <v>16</v>
      </c>
      <c r="I61" s="131"/>
      <c r="J61" s="131"/>
      <c r="M61" s="7"/>
      <c r="N61" s="9" t="s">
        <v>85</v>
      </c>
      <c r="O61" s="9" t="s">
        <v>356</v>
      </c>
      <c r="P61" s="43">
        <f>'Prices_non-Labor'!$H$45</f>
        <v>7.4305436</v>
      </c>
      <c r="Q61" s="52">
        <f t="shared" si="10"/>
        <v>9</v>
      </c>
      <c r="R61" s="65">
        <f>'Demographic Data'!$B$3</f>
        <v>10000</v>
      </c>
      <c r="S61" s="51">
        <f>Q61*R61/3</f>
        <v>30000</v>
      </c>
      <c r="T61" s="322">
        <f t="shared" ref="T61:T62" si="11">SUM(S61*P61)</f>
        <v>222916.30799999999</v>
      </c>
      <c r="U61" s="61" t="s">
        <v>16</v>
      </c>
      <c r="V61" s="322"/>
      <c r="W61" s="45"/>
      <c r="X61" s="45"/>
      <c r="Y61" s="61"/>
      <c r="Z61"/>
    </row>
    <row r="62" spans="1:26" s="8" customFormat="1" x14ac:dyDescent="0.25">
      <c r="A62"/>
      <c r="B62"/>
      <c r="C62"/>
      <c r="D62" s="103"/>
      <c r="E62" s="70"/>
      <c r="F62" s="126"/>
      <c r="G62"/>
      <c r="I62" s="72"/>
      <c r="J62" s="72"/>
      <c r="K62" s="127"/>
      <c r="L62" s="64"/>
      <c r="M62" s="282"/>
      <c r="N62" s="9" t="s">
        <v>85</v>
      </c>
      <c r="O62" s="9" t="s">
        <v>3</v>
      </c>
      <c r="P62" s="43">
        <f>'Prices_non-Labor'!$H$47</f>
        <v>0.3993000000000001</v>
      </c>
      <c r="Q62" s="52">
        <f t="shared" si="10"/>
        <v>9</v>
      </c>
      <c r="R62" s="65">
        <f>'Demographic Data'!$B$3</f>
        <v>10000</v>
      </c>
      <c r="S62" s="51">
        <f>SUM(Q62*R62)*2</f>
        <v>180000</v>
      </c>
      <c r="T62" s="322">
        <f t="shared" si="11"/>
        <v>71874.000000000015</v>
      </c>
      <c r="U62" s="61" t="s">
        <v>16</v>
      </c>
      <c r="V62" s="51"/>
      <c r="W62" s="51"/>
      <c r="X62" s="51"/>
      <c r="Y62" s="61"/>
    </row>
    <row r="63" spans="1:26" s="8" customFormat="1" x14ac:dyDescent="0.25">
      <c r="A63" s="178" t="s">
        <v>1</v>
      </c>
      <c r="B63" s="176" t="s">
        <v>32</v>
      </c>
      <c r="C63" s="176"/>
      <c r="D63" s="178" t="s">
        <v>1</v>
      </c>
      <c r="E63" s="179"/>
      <c r="F63" s="179" t="s">
        <v>1</v>
      </c>
      <c r="G63" s="180" t="s">
        <v>32</v>
      </c>
      <c r="H63" s="178" t="s">
        <v>1</v>
      </c>
      <c r="I63" s="179"/>
      <c r="J63" s="179"/>
      <c r="K63" s="175" t="s">
        <v>32</v>
      </c>
      <c r="L63" s="177" t="s">
        <v>45</v>
      </c>
      <c r="M63" s="7"/>
      <c r="N63"/>
      <c r="O63"/>
      <c r="P63"/>
      <c r="Q63"/>
      <c r="R63" s="70"/>
      <c r="S63" s="72"/>
      <c r="T63" s="323"/>
      <c r="U63" s="323"/>
      <c r="V63" s="323"/>
      <c r="W63" s="205"/>
      <c r="X63" s="205"/>
      <c r="Y63" s="64"/>
    </row>
    <row r="64" spans="1:26" s="8" customFormat="1" x14ac:dyDescent="0.25">
      <c r="A64" s="59" t="s">
        <v>62</v>
      </c>
      <c r="B64" s="186">
        <f>SUM(G39:G61)</f>
        <v>2181661.3787600002</v>
      </c>
      <c r="C64" s="79"/>
      <c r="D64" s="433" t="s">
        <v>63</v>
      </c>
      <c r="E64" s="433"/>
      <c r="F64" s="433"/>
      <c r="G64" s="84">
        <f>B64/'Demographic Data'!$B$3</f>
        <v>218.16613787600002</v>
      </c>
      <c r="H64" s="115" t="s">
        <v>65</v>
      </c>
      <c r="I64" s="116"/>
      <c r="J64" s="117"/>
      <c r="K64" s="71">
        <f>SUMIFS($G$39:$G$61, $B$39:$B$61, "Materials", $H$39:$H$61, "Yes")</f>
        <v>35692.096000000012</v>
      </c>
      <c r="L64" s="97">
        <f>K64/$B$64</f>
        <v>1.6360053098747374E-2</v>
      </c>
      <c r="M64" s="7"/>
      <c r="N64" s="112" t="s">
        <v>255</v>
      </c>
      <c r="O64" s="176" t="s">
        <v>32</v>
      </c>
      <c r="P64" s="176"/>
      <c r="Q64" s="178" t="s">
        <v>1</v>
      </c>
      <c r="R64" s="179"/>
      <c r="S64" s="179"/>
      <c r="T64" s="180" t="s">
        <v>32</v>
      </c>
      <c r="U64" s="178" t="s">
        <v>1</v>
      </c>
      <c r="V64" s="179"/>
      <c r="W64" s="179"/>
      <c r="X64" s="175" t="s">
        <v>32</v>
      </c>
      <c r="Y64" s="177" t="s">
        <v>45</v>
      </c>
      <c r="Z64" s="55"/>
    </row>
    <row r="65" spans="1:26" s="8" customFormat="1" x14ac:dyDescent="0.25">
      <c r="A65" s="59"/>
      <c r="B65" s="74"/>
      <c r="C65" s="71"/>
      <c r="D65" s="433" t="s">
        <v>64</v>
      </c>
      <c r="E65" s="433"/>
      <c r="F65" s="433"/>
      <c r="G65" s="84">
        <f>B64/'Demographic Data'!$B$4</f>
        <v>72.722045958666669</v>
      </c>
      <c r="H65" s="115" t="s">
        <v>66</v>
      </c>
      <c r="I65" s="116"/>
      <c r="J65" s="117"/>
      <c r="K65" s="71">
        <f>SUMIFS($G$39:$G$61, $B$39:$B$61, "Transportation", $H$39:$H$61, "Yes")</f>
        <v>1253117.4690600005</v>
      </c>
      <c r="L65" s="97">
        <f>K65/$B$64</f>
        <v>0.57438678672133803</v>
      </c>
      <c r="M65" s="7"/>
      <c r="N65" s="59" t="s">
        <v>297</v>
      </c>
      <c r="O65" s="65">
        <f>SUM(T60:T62)</f>
        <v>651599.12432653061</v>
      </c>
      <c r="P65" s="71"/>
      <c r="Q65" s="433" t="s">
        <v>299</v>
      </c>
      <c r="R65" s="433"/>
      <c r="S65" s="433"/>
      <c r="T65" s="84">
        <f>O65/'Demographic Data'!$B$3</f>
        <v>65.159912432653059</v>
      </c>
      <c r="U65" s="71"/>
      <c r="V65" s="115" t="s">
        <v>294</v>
      </c>
      <c r="W65" s="116"/>
      <c r="X65" s="71">
        <f>SUMIFS($T$59:$T$62, $O$59:$O$62, "Materials", $U$59:$U$62, "Yes")</f>
        <v>71874.000000000015</v>
      </c>
      <c r="Y65" s="97">
        <f>X65/$O$65</f>
        <v>0.110304015638889</v>
      </c>
      <c r="Z65" s="97"/>
    </row>
    <row r="66" spans="1:26" s="8" customFormat="1" x14ac:dyDescent="0.25">
      <c r="A66" s="62"/>
      <c r="B66" s="83"/>
      <c r="C66" s="82"/>
      <c r="D66" s="426" t="s">
        <v>60</v>
      </c>
      <c r="E66" s="426"/>
      <c r="F66" s="426"/>
      <c r="G66" s="132">
        <f>B64/'Demographic Data'!$B$5</f>
        <v>1.8180511489666669</v>
      </c>
      <c r="H66" s="116" t="s">
        <v>126</v>
      </c>
      <c r="I66" s="116"/>
      <c r="J66" s="117"/>
      <c r="K66" s="71">
        <f>SUMIFS($G$39:$G$61, $B$39:$B$61, "Meals/Per Diem", $H$39:$H$61, "Yes")</f>
        <v>746441.81369999994</v>
      </c>
      <c r="L66" s="97">
        <f>K66/$B$64</f>
        <v>0.34214375382317952</v>
      </c>
      <c r="M66" s="7"/>
      <c r="N66" s="59"/>
      <c r="O66" s="86"/>
      <c r="P66" s="71"/>
      <c r="Q66" s="433" t="s">
        <v>298</v>
      </c>
      <c r="R66" s="433"/>
      <c r="S66" s="433"/>
      <c r="T66" s="84">
        <f>O65/'Demographic Data'!$B$4</f>
        <v>21.719970810884355</v>
      </c>
      <c r="U66" s="71"/>
      <c r="V66" s="116" t="s">
        <v>295</v>
      </c>
      <c r="W66" s="116"/>
      <c r="X66" s="71">
        <f>SUMIFS($T$59:$T$62, $O$59:$O$62, "Transportation", $U$59:$U$62, "Yes")</f>
        <v>356808.81632653059</v>
      </c>
      <c r="Y66" s="97">
        <f>X66/$O$65</f>
        <v>0.54758946567848032</v>
      </c>
      <c r="Z66" s="97"/>
    </row>
    <row r="67" spans="1:26" s="8" customFormat="1" x14ac:dyDescent="0.25">
      <c r="A67" s="48"/>
      <c r="B67" s="48"/>
      <c r="C67" s="48"/>
      <c r="D67" s="451"/>
      <c r="E67" s="451"/>
      <c r="F67" s="451"/>
      <c r="G67" s="193"/>
      <c r="H67" s="59" t="s">
        <v>67</v>
      </c>
      <c r="I67" s="59"/>
      <c r="J67" s="59"/>
      <c r="K67" s="71">
        <f>SUMIFS($G$39:$G$61, $B$39:$B$61, "Facilities", $H$39:$H$61, "Yes")</f>
        <v>146410.00000000009</v>
      </c>
      <c r="L67" s="97">
        <f>K67/$B$64</f>
        <v>6.7109406356735221E-2</v>
      </c>
      <c r="M67" s="284"/>
      <c r="N67" s="62"/>
      <c r="O67" s="83"/>
      <c r="P67" s="71"/>
      <c r="Q67" s="426" t="s">
        <v>300</v>
      </c>
      <c r="R67" s="426"/>
      <c r="S67" s="426"/>
      <c r="T67" s="228">
        <f>O65/'Demographic Data'!$B$5</f>
        <v>0.54299927027210881</v>
      </c>
      <c r="U67" s="324"/>
      <c r="V67" s="59" t="s">
        <v>296</v>
      </c>
      <c r="W67" s="59"/>
      <c r="X67" s="71">
        <f>SUMIFS($T$59:$T$62, $O$59:$O$62, "Meals/per diem", $U$59:$U$62, "Yes")</f>
        <v>222916.30799999999</v>
      </c>
      <c r="Y67" s="97">
        <f>X67/$O$65</f>
        <v>0.34210651868263059</v>
      </c>
      <c r="Z67" s="97"/>
    </row>
    <row r="68" spans="1:26" s="8" customFormat="1" x14ac:dyDescent="0.25">
      <c r="C68" s="48"/>
      <c r="I68" s="431"/>
      <c r="J68" s="432"/>
      <c r="K68" s="432"/>
      <c r="L68" s="299">
        <f>SUM(L64:L67)</f>
        <v>1</v>
      </c>
      <c r="M68" s="285"/>
      <c r="O68" s="48"/>
      <c r="T68" s="102"/>
      <c r="U68" s="325"/>
      <c r="V68" s="59"/>
      <c r="W68" s="59"/>
      <c r="X68" s="71"/>
      <c r="Y68" s="97">
        <f>SUM(Y65:Y67)</f>
        <v>1</v>
      </c>
      <c r="Z68" s="67"/>
    </row>
    <row r="69" spans="1:26" s="8" customFormat="1" x14ac:dyDescent="0.25">
      <c r="C69" s="48"/>
      <c r="I69" s="194"/>
      <c r="L69" s="67"/>
      <c r="M69" s="285"/>
      <c r="N69" s="70"/>
    </row>
    <row r="70" spans="1:26" s="8" customFormat="1" x14ac:dyDescent="0.25">
      <c r="C70" s="48"/>
      <c r="I70" s="194"/>
      <c r="L70" s="67"/>
      <c r="M70" s="285"/>
      <c r="N70" s="70"/>
    </row>
    <row r="71" spans="1:26" s="8" customFormat="1" x14ac:dyDescent="0.25">
      <c r="A71" s="314" t="s">
        <v>244</v>
      </c>
      <c r="B71" s="10" t="s">
        <v>217</v>
      </c>
      <c r="C71" s="10">
        <v>0.1</v>
      </c>
      <c r="D71" s="10" t="s">
        <v>218</v>
      </c>
      <c r="E71" s="277">
        <v>0.9</v>
      </c>
      <c r="F71" s="10" t="s">
        <v>74</v>
      </c>
      <c r="G71" s="350">
        <f>$G$6</f>
        <v>1</v>
      </c>
      <c r="L71" s="67"/>
      <c r="M71" s="285"/>
      <c r="N71" s="70"/>
    </row>
    <row r="72" spans="1:26" s="8" customFormat="1" ht="30" x14ac:dyDescent="0.25">
      <c r="A72" s="142" t="s">
        <v>1</v>
      </c>
      <c r="B72" s="144" t="s">
        <v>0</v>
      </c>
      <c r="C72" s="143" t="s">
        <v>188</v>
      </c>
      <c r="D72" s="143" t="s">
        <v>25</v>
      </c>
      <c r="E72" s="143" t="s">
        <v>20</v>
      </c>
      <c r="F72" s="143" t="s">
        <v>21</v>
      </c>
      <c r="G72" s="143" t="s">
        <v>114</v>
      </c>
      <c r="H72" s="143" t="s">
        <v>17</v>
      </c>
      <c r="I72" s="41"/>
      <c r="J72" s="48"/>
      <c r="K72"/>
      <c r="M72" s="286"/>
      <c r="N72" s="70"/>
    </row>
    <row r="73" spans="1:26" s="8" customFormat="1" x14ac:dyDescent="0.25">
      <c r="A73" s="128" t="s">
        <v>84</v>
      </c>
      <c r="B73" s="129"/>
      <c r="C73" s="130"/>
      <c r="D73" s="129">
        <f>$G$71</f>
        <v>1</v>
      </c>
      <c r="E73" s="190">
        <v>400</v>
      </c>
      <c r="F73" s="130">
        <f>D73*E73</f>
        <v>400</v>
      </c>
      <c r="G73" s="187"/>
      <c r="H73" s="188" t="s">
        <v>18</v>
      </c>
      <c r="I73"/>
      <c r="J73"/>
      <c r="K73"/>
      <c r="M73" s="286"/>
      <c r="N73" s="70"/>
    </row>
    <row r="74" spans="1:26" s="8" customFormat="1" x14ac:dyDescent="0.25">
      <c r="A74" s="129" t="s">
        <v>19</v>
      </c>
      <c r="B74" s="129"/>
      <c r="C74" s="130"/>
      <c r="D74" s="129">
        <f>$G$71</f>
        <v>1</v>
      </c>
      <c r="E74" s="130">
        <f>'Demographic Data'!B4</f>
        <v>30000</v>
      </c>
      <c r="F74" s="130">
        <f>D74*E74</f>
        <v>30000</v>
      </c>
      <c r="G74" s="187"/>
      <c r="H74" s="188" t="s">
        <v>18</v>
      </c>
      <c r="I74" s="41"/>
      <c r="J74" s="41"/>
      <c r="K74"/>
      <c r="M74" s="286"/>
      <c r="N74" s="70"/>
    </row>
    <row r="75" spans="1:26" s="8" customFormat="1" x14ac:dyDescent="0.25">
      <c r="A75" s="50" t="s">
        <v>26</v>
      </c>
      <c r="B75" s="9" t="s">
        <v>3</v>
      </c>
      <c r="C75" s="219">
        <f>'Prices_non-Labor'!$H$12</f>
        <v>1.5972000000000004</v>
      </c>
      <c r="D75" s="226">
        <v>0.1</v>
      </c>
      <c r="E75" s="51">
        <f>SUM(E73:E74)</f>
        <v>30400</v>
      </c>
      <c r="F75" s="51">
        <f>E75*D75</f>
        <v>3040</v>
      </c>
      <c r="G75" s="189">
        <f>F75*C75</f>
        <v>4855.4880000000012</v>
      </c>
      <c r="H75" s="61" t="s">
        <v>16</v>
      </c>
      <c r="I75" s="137"/>
      <c r="J75" s="41"/>
      <c r="K75"/>
      <c r="M75" s="285"/>
      <c r="N75" s="70"/>
    </row>
    <row r="76" spans="1:26" s="8" customFormat="1" x14ac:dyDescent="0.25">
      <c r="A76" s="50" t="s">
        <v>79</v>
      </c>
      <c r="B76" s="9" t="s">
        <v>3</v>
      </c>
      <c r="C76" s="219">
        <f>'Prices_non-Labor'!$H$13</f>
        <v>1.3310000000000004</v>
      </c>
      <c r="D76" s="53">
        <v>0.1</v>
      </c>
      <c r="E76" s="51">
        <f>SUM(E73:E74)</f>
        <v>30400</v>
      </c>
      <c r="F76" s="51">
        <f>E76*D76</f>
        <v>3040</v>
      </c>
      <c r="G76" s="189">
        <f t="shared" ref="G76:G85" si="12">F76*C76</f>
        <v>4046.2400000000011</v>
      </c>
      <c r="H76" s="61" t="s">
        <v>16</v>
      </c>
      <c r="I76" s="137"/>
      <c r="J76" s="41"/>
      <c r="K76"/>
      <c r="L76"/>
      <c r="M76" s="285"/>
      <c r="N76" s="70"/>
    </row>
    <row r="77" spans="1:26" s="8" customFormat="1" x14ac:dyDescent="0.25">
      <c r="A77" s="50" t="s">
        <v>83</v>
      </c>
      <c r="B77" s="9" t="s">
        <v>3</v>
      </c>
      <c r="C77" s="219">
        <f>'Prices_non-Labor'!$H$11</f>
        <v>1.3310000000000004</v>
      </c>
      <c r="D77" s="9">
        <v>1</v>
      </c>
      <c r="E77" s="65">
        <f>$E$35</f>
        <v>400</v>
      </c>
      <c r="F77" s="51">
        <f t="shared" ref="F77:F87" si="13">D77*E77</f>
        <v>400</v>
      </c>
      <c r="G77" s="189">
        <f t="shared" si="12"/>
        <v>532.4000000000002</v>
      </c>
      <c r="H77" s="61" t="s">
        <v>16</v>
      </c>
      <c r="I77" s="41"/>
      <c r="J77" s="41"/>
      <c r="K77"/>
      <c r="L77"/>
      <c r="M77" s="285"/>
      <c r="N77" s="70"/>
    </row>
    <row r="78" spans="1:26" s="8" customFormat="1" x14ac:dyDescent="0.25">
      <c r="A78" s="9" t="s">
        <v>27</v>
      </c>
      <c r="B78" s="9" t="s">
        <v>3</v>
      </c>
      <c r="C78" s="219">
        <f>'Prices_non-Labor'!$H$11</f>
        <v>1.3310000000000004</v>
      </c>
      <c r="D78" s="195">
        <v>0.2</v>
      </c>
      <c r="E78" s="65">
        <f>$E$38</f>
        <v>30000</v>
      </c>
      <c r="F78" s="51">
        <f t="shared" si="13"/>
        <v>6000</v>
      </c>
      <c r="G78" s="189">
        <f t="shared" si="12"/>
        <v>7986.0000000000027</v>
      </c>
      <c r="H78" s="61" t="s">
        <v>16</v>
      </c>
      <c r="I78" s="41"/>
      <c r="J78" s="41"/>
      <c r="K78"/>
      <c r="L78"/>
      <c r="M78" s="285"/>
      <c r="N78" s="70"/>
    </row>
    <row r="79" spans="1:26" s="8" customFormat="1" x14ac:dyDescent="0.25">
      <c r="A79" s="50" t="s">
        <v>201</v>
      </c>
      <c r="B79" s="9" t="s">
        <v>41</v>
      </c>
      <c r="C79" s="218">
        <f>'Prices_non-Labor'!$H$30</f>
        <v>14.751814500000004</v>
      </c>
      <c r="D79" s="52">
        <f>$G$71</f>
        <v>1</v>
      </c>
      <c r="E79" s="105">
        <f>E73*E71</f>
        <v>360</v>
      </c>
      <c r="F79" s="133">
        <f t="shared" si="13"/>
        <v>360</v>
      </c>
      <c r="G79" s="189">
        <f t="shared" si="12"/>
        <v>5310.6532200000011</v>
      </c>
      <c r="H79" s="61" t="s">
        <v>16</v>
      </c>
      <c r="I79" s="41"/>
      <c r="J79" s="41"/>
      <c r="K79"/>
      <c r="L79"/>
      <c r="M79" s="285"/>
      <c r="N79" s="70"/>
    </row>
    <row r="80" spans="1:26" s="8" customFormat="1" x14ac:dyDescent="0.25">
      <c r="A80" s="50" t="s">
        <v>203</v>
      </c>
      <c r="B80" s="9" t="s">
        <v>41</v>
      </c>
      <c r="C80" s="185">
        <f>'Prices_non-Labor'!$H$36</f>
        <v>37.152718000000007</v>
      </c>
      <c r="D80" s="9">
        <v>1</v>
      </c>
      <c r="E80" s="65">
        <f>$E$35*C71</f>
        <v>40</v>
      </c>
      <c r="F80" s="51">
        <f t="shared" si="13"/>
        <v>40</v>
      </c>
      <c r="G80" s="189">
        <f t="shared" si="12"/>
        <v>1486.1087200000002</v>
      </c>
      <c r="H80" s="61" t="s">
        <v>16</v>
      </c>
      <c r="I80" s="41"/>
      <c r="J80" s="41"/>
      <c r="K80"/>
      <c r="L80"/>
      <c r="M80" s="285"/>
      <c r="N80" s="70"/>
    </row>
    <row r="81" spans="1:14" s="8" customFormat="1" x14ac:dyDescent="0.25">
      <c r="A81" s="9" t="s">
        <v>200</v>
      </c>
      <c r="B81" s="9" t="s">
        <v>41</v>
      </c>
      <c r="C81" s="218">
        <f>'Prices_non-Labor'!$H$30</f>
        <v>14.751814500000004</v>
      </c>
      <c r="D81" s="52">
        <f>$G$71</f>
        <v>1</v>
      </c>
      <c r="E81" s="65">
        <f>$E$38*E71</f>
        <v>27000</v>
      </c>
      <c r="F81" s="51">
        <f t="shared" si="13"/>
        <v>27000</v>
      </c>
      <c r="G81" s="189">
        <f t="shared" si="12"/>
        <v>398298.99150000012</v>
      </c>
      <c r="H81" s="61" t="s">
        <v>16</v>
      </c>
      <c r="I81" s="41"/>
      <c r="J81" s="41"/>
      <c r="K81"/>
      <c r="L81"/>
      <c r="M81" s="285"/>
      <c r="N81" s="70"/>
    </row>
    <row r="82" spans="1:14" s="8" customFormat="1" x14ac:dyDescent="0.25">
      <c r="A82" s="9" t="s">
        <v>206</v>
      </c>
      <c r="B82" s="9" t="s">
        <v>41</v>
      </c>
      <c r="C82" s="185">
        <f>'Prices_non-Labor'!$H$36</f>
        <v>37.152718000000007</v>
      </c>
      <c r="D82" s="9">
        <v>1</v>
      </c>
      <c r="E82" s="45">
        <f>$E$38*C71</f>
        <v>3000</v>
      </c>
      <c r="F82" s="51">
        <f t="shared" si="13"/>
        <v>3000</v>
      </c>
      <c r="G82" s="189">
        <f t="shared" si="12"/>
        <v>111458.15400000002</v>
      </c>
      <c r="H82" s="61" t="s">
        <v>16</v>
      </c>
      <c r="I82" s="54" t="s">
        <v>1</v>
      </c>
      <c r="J82" s="54"/>
      <c r="K82"/>
      <c r="L82"/>
      <c r="M82" s="285"/>
      <c r="N82" s="70"/>
    </row>
    <row r="83" spans="1:14" s="8" customFormat="1" x14ac:dyDescent="0.25">
      <c r="A83" s="50" t="s">
        <v>201</v>
      </c>
      <c r="B83" s="9" t="s">
        <v>109</v>
      </c>
      <c r="C83" s="76">
        <f>'Prices_non-Labor'!$H$29</f>
        <v>7.1027255</v>
      </c>
      <c r="D83" s="52">
        <f>$G$71</f>
        <v>1</v>
      </c>
      <c r="E83" s="105">
        <f>$E$35*E71</f>
        <v>360</v>
      </c>
      <c r="F83" s="133">
        <f t="shared" si="13"/>
        <v>360</v>
      </c>
      <c r="G83" s="189">
        <f t="shared" si="12"/>
        <v>2556.9811800000002</v>
      </c>
      <c r="H83" s="61" t="s">
        <v>16</v>
      </c>
      <c r="I83" s="54"/>
      <c r="J83" s="54"/>
      <c r="K83"/>
      <c r="L83"/>
      <c r="M83" s="285"/>
      <c r="N83" s="70"/>
    </row>
    <row r="84" spans="1:14" s="8" customFormat="1" x14ac:dyDescent="0.25">
      <c r="A84" s="50" t="s">
        <v>203</v>
      </c>
      <c r="B84" s="9" t="s">
        <v>109</v>
      </c>
      <c r="C84" s="185">
        <f>'Prices_non-Labor'!$H$35</f>
        <v>26.225448</v>
      </c>
      <c r="D84" s="52">
        <f>$G$71</f>
        <v>1</v>
      </c>
      <c r="E84" s="65">
        <f>$E$35*C71</f>
        <v>40</v>
      </c>
      <c r="F84" s="51">
        <f t="shared" si="13"/>
        <v>40</v>
      </c>
      <c r="G84" s="189">
        <f t="shared" si="12"/>
        <v>1049.01792</v>
      </c>
      <c r="H84" s="61" t="s">
        <v>16</v>
      </c>
      <c r="I84" s="54"/>
      <c r="J84" s="54"/>
      <c r="K84"/>
      <c r="L84"/>
      <c r="M84" s="285"/>
      <c r="N84" s="70"/>
    </row>
    <row r="85" spans="1:14" s="8" customFormat="1" x14ac:dyDescent="0.25">
      <c r="A85" s="9" t="s">
        <v>202</v>
      </c>
      <c r="B85" s="9" t="s">
        <v>109</v>
      </c>
      <c r="C85" s="76">
        <f>'Prices_non-Labor'!$H$29</f>
        <v>7.1027255</v>
      </c>
      <c r="D85" s="52">
        <f>$G$71</f>
        <v>1</v>
      </c>
      <c r="E85" s="65">
        <f>$E$38*E71</f>
        <v>27000</v>
      </c>
      <c r="F85" s="51">
        <f t="shared" si="13"/>
        <v>27000</v>
      </c>
      <c r="G85" s="189">
        <f t="shared" si="12"/>
        <v>191773.58850000001</v>
      </c>
      <c r="H85" s="61" t="s">
        <v>16</v>
      </c>
      <c r="I85" s="135"/>
      <c r="J85" s="69"/>
      <c r="M85" s="285"/>
      <c r="N85" s="70"/>
    </row>
    <row r="86" spans="1:14" s="8" customFormat="1" x14ac:dyDescent="0.25">
      <c r="A86" s="9" t="s">
        <v>207</v>
      </c>
      <c r="B86" s="9" t="s">
        <v>109</v>
      </c>
      <c r="C86" s="185">
        <f>'Prices_non-Labor'!$H$35</f>
        <v>26.225448</v>
      </c>
      <c r="D86" s="52">
        <f>$G$71</f>
        <v>1</v>
      </c>
      <c r="E86" s="45">
        <f>$E$38*C71</f>
        <v>3000</v>
      </c>
      <c r="F86" s="51">
        <f t="shared" si="13"/>
        <v>3000</v>
      </c>
      <c r="G86" s="189">
        <f>F86*C86</f>
        <v>78676.343999999997</v>
      </c>
      <c r="H86" s="61" t="s">
        <v>16</v>
      </c>
      <c r="I86" s="131"/>
      <c r="J86" s="131"/>
      <c r="M86" s="285"/>
      <c r="N86" s="70"/>
    </row>
    <row r="87" spans="1:14" s="8" customFormat="1" x14ac:dyDescent="0.25">
      <c r="A87" s="9" t="s">
        <v>39</v>
      </c>
      <c r="B87" s="9" t="s">
        <v>15</v>
      </c>
      <c r="C87" s="185">
        <f>'Prices_non-Labor'!$H$24</f>
        <v>146.41000000000008</v>
      </c>
      <c r="D87" s="52">
        <f>$G$71</f>
        <v>1</v>
      </c>
      <c r="E87" s="59">
        <v>700</v>
      </c>
      <c r="F87" s="65">
        <f t="shared" si="13"/>
        <v>700</v>
      </c>
      <c r="G87" s="189">
        <f>F87*C87</f>
        <v>102487.00000000006</v>
      </c>
      <c r="H87" s="61" t="s">
        <v>16</v>
      </c>
      <c r="I87" s="131"/>
      <c r="J87" s="131"/>
      <c r="M87" s="285"/>
      <c r="N87" s="70"/>
    </row>
    <row r="88" spans="1:14" s="8" customFormat="1" x14ac:dyDescent="0.25">
      <c r="A88"/>
      <c r="B88"/>
      <c r="C88"/>
      <c r="D88" s="103"/>
      <c r="E88" s="70"/>
      <c r="F88" s="126"/>
      <c r="G88"/>
      <c r="I88" s="72"/>
      <c r="J88" s="72"/>
      <c r="K88" s="127"/>
      <c r="L88" s="64"/>
      <c r="M88" s="285"/>
      <c r="N88" s="70"/>
    </row>
    <row r="89" spans="1:14" s="8" customFormat="1" x14ac:dyDescent="0.25">
      <c r="A89" s="178" t="s">
        <v>1</v>
      </c>
      <c r="B89" s="176" t="s">
        <v>32</v>
      </c>
      <c r="C89" s="176"/>
      <c r="D89" s="178" t="s">
        <v>1</v>
      </c>
      <c r="E89" s="179"/>
      <c r="F89" s="179"/>
      <c r="G89" s="180" t="s">
        <v>32</v>
      </c>
      <c r="H89" s="178" t="s">
        <v>1</v>
      </c>
      <c r="I89" s="179"/>
      <c r="J89" s="179"/>
      <c r="K89" s="175" t="s">
        <v>32</v>
      </c>
      <c r="L89" s="177" t="s">
        <v>45</v>
      </c>
      <c r="M89" s="285"/>
      <c r="N89" s="70"/>
    </row>
    <row r="90" spans="1:14" s="8" customFormat="1" x14ac:dyDescent="0.25">
      <c r="A90" s="59" t="s">
        <v>62</v>
      </c>
      <c r="B90" s="186">
        <f>SUM(G75:G87)</f>
        <v>910516.96704000025</v>
      </c>
      <c r="C90" s="79"/>
      <c r="D90" s="433" t="s">
        <v>63</v>
      </c>
      <c r="E90" s="433"/>
      <c r="F90" s="433"/>
      <c r="G90" s="84">
        <f>B90/'Demographic Data'!$B$3</f>
        <v>91.051696704000022</v>
      </c>
      <c r="H90" s="115" t="s">
        <v>65</v>
      </c>
      <c r="I90" s="116"/>
      <c r="J90" s="117"/>
      <c r="K90" s="71">
        <f>SUMIFS($G$75:$G$87, $B$75:$B$87, "Materials", $H$75:$H$87, "Yes")</f>
        <v>17420.128000000004</v>
      </c>
      <c r="L90" s="97">
        <f>K90/$B$90</f>
        <v>1.9132128923012935E-2</v>
      </c>
      <c r="M90" s="285"/>
      <c r="N90" s="70"/>
    </row>
    <row r="91" spans="1:14" s="8" customFormat="1" x14ac:dyDescent="0.25">
      <c r="A91" s="59"/>
      <c r="B91" s="74"/>
      <c r="C91" s="71"/>
      <c r="D91" s="433" t="s">
        <v>64</v>
      </c>
      <c r="E91" s="433"/>
      <c r="F91" s="433"/>
      <c r="G91" s="84">
        <f>B90/'Demographic Data'!$B$4</f>
        <v>30.350565568000007</v>
      </c>
      <c r="H91" s="115" t="s">
        <v>66</v>
      </c>
      <c r="I91" s="116"/>
      <c r="J91" s="117"/>
      <c r="K91" s="71">
        <f>SUMIFS($G$75:$G$87, $B$75:$B$87, "Transportation", $H$75:$H$87, "Yes")</f>
        <v>516553.90744000016</v>
      </c>
      <c r="L91" s="97">
        <f>K91/$B$90</f>
        <v>0.56731936486506707</v>
      </c>
      <c r="M91" s="283"/>
      <c r="N91" s="149"/>
    </row>
    <row r="92" spans="1:14" x14ac:dyDescent="0.25">
      <c r="A92" s="62"/>
      <c r="B92" s="83"/>
      <c r="C92" s="82"/>
      <c r="D92" s="426" t="s">
        <v>60</v>
      </c>
      <c r="E92" s="426"/>
      <c r="F92" s="426"/>
      <c r="G92" s="132">
        <f>B90/'Demographic Data'!$B$5</f>
        <v>0.75876413920000019</v>
      </c>
      <c r="H92" s="116" t="s">
        <v>126</v>
      </c>
      <c r="I92" s="116"/>
      <c r="J92" s="117"/>
      <c r="K92" s="71">
        <f>SUMIFS($G$75:$G$87, $B$75:$B$87, "Meals/Per Diem", $H$75:$H$87, "Yes")</f>
        <v>274055.93160000001</v>
      </c>
      <c r="L92" s="97">
        <f>K92/$B$90</f>
        <v>0.3009893736422381</v>
      </c>
      <c r="M92" s="285"/>
      <c r="N92" s="69"/>
    </row>
    <row r="93" spans="1:14" x14ac:dyDescent="0.25">
      <c r="A93" s="48"/>
      <c r="B93" s="48"/>
      <c r="C93" s="48"/>
      <c r="D93" s="451"/>
      <c r="E93" s="451"/>
      <c r="F93" s="451"/>
      <c r="G93" s="193"/>
      <c r="H93" s="59" t="s">
        <v>67</v>
      </c>
      <c r="I93" s="59"/>
      <c r="J93" s="59"/>
      <c r="K93" s="71">
        <f>SUMIFS($G$75:$G$87, $B$75:$B$87, "Facilities", $H$75:$H$87, "Yes")</f>
        <v>102487.00000000006</v>
      </c>
      <c r="L93" s="97">
        <f>K93/$B$90</f>
        <v>0.11255913256968188</v>
      </c>
      <c r="M93" s="285"/>
      <c r="N93" s="69"/>
    </row>
    <row r="94" spans="1:14" x14ac:dyDescent="0.25">
      <c r="A94" s="48"/>
      <c r="B94" s="48"/>
      <c r="C94" s="48"/>
      <c r="D94" s="48"/>
      <c r="E94" s="48"/>
      <c r="F94" s="48"/>
      <c r="G94" s="193"/>
      <c r="H94" s="8"/>
      <c r="I94" s="8"/>
      <c r="J94" s="8"/>
      <c r="K94" s="67"/>
      <c r="L94" s="69">
        <f>SUM(L90:L93)</f>
        <v>1</v>
      </c>
      <c r="M94" s="285"/>
      <c r="N94" s="69"/>
    </row>
    <row r="95" spans="1:14" x14ac:dyDescent="0.25">
      <c r="A95" s="318" t="s">
        <v>245</v>
      </c>
      <c r="B95" s="48"/>
      <c r="C95" s="48"/>
      <c r="D95" s="48"/>
      <c r="E95" s="48"/>
      <c r="F95" s="48"/>
      <c r="G95" s="193"/>
      <c r="H95" s="8"/>
      <c r="I95" s="8"/>
      <c r="J95" s="8"/>
      <c r="K95" s="67"/>
      <c r="L95" s="69"/>
      <c r="M95" s="285"/>
      <c r="N95" s="69"/>
    </row>
    <row r="96" spans="1:14" ht="30" x14ac:dyDescent="0.25">
      <c r="A96" s="142" t="s">
        <v>1</v>
      </c>
      <c r="B96" s="144" t="s">
        <v>0</v>
      </c>
      <c r="C96" s="143" t="s">
        <v>188</v>
      </c>
      <c r="D96" s="143" t="s">
        <v>25</v>
      </c>
      <c r="E96" s="143" t="s">
        <v>20</v>
      </c>
      <c r="F96" s="143" t="s">
        <v>21</v>
      </c>
      <c r="G96" s="143" t="s">
        <v>114</v>
      </c>
      <c r="H96" s="143" t="s">
        <v>17</v>
      </c>
      <c r="I96" s="8"/>
      <c r="J96" s="8"/>
      <c r="K96" s="67"/>
      <c r="L96" s="69"/>
      <c r="M96" s="285"/>
      <c r="N96" s="69"/>
    </row>
    <row r="97" spans="1:17" x14ac:dyDescent="0.25">
      <c r="A97" s="9" t="s">
        <v>127</v>
      </c>
      <c r="B97" s="9" t="s">
        <v>3</v>
      </c>
      <c r="C97" s="219">
        <f>'Prices_non-Labor'!$H$12</f>
        <v>1.5972000000000004</v>
      </c>
      <c r="D97" s="52">
        <v>1</v>
      </c>
      <c r="E97" s="65">
        <f>'Demographic Data'!$B$4</f>
        <v>30000</v>
      </c>
      <c r="F97" s="51">
        <f>E97*D97*$K$7</f>
        <v>30000</v>
      </c>
      <c r="G97" s="196">
        <f>SUM(C97*F97)</f>
        <v>47916.000000000015</v>
      </c>
      <c r="H97" s="61" t="s">
        <v>16</v>
      </c>
      <c r="I97" s="194"/>
      <c r="J97" s="70"/>
      <c r="K97" s="198"/>
      <c r="L97" s="64"/>
      <c r="M97" s="285"/>
      <c r="N97" s="69"/>
    </row>
    <row r="98" spans="1:17" x14ac:dyDescent="0.25">
      <c r="A98" s="9" t="s">
        <v>72</v>
      </c>
      <c r="B98" s="9" t="s">
        <v>3</v>
      </c>
      <c r="C98" s="219">
        <f>'Prices_non-Labor'!$H$13</f>
        <v>1.3310000000000004</v>
      </c>
      <c r="D98" s="90">
        <v>1</v>
      </c>
      <c r="E98" s="65">
        <f>'Demographic Data'!$B$5</f>
        <v>1200000</v>
      </c>
      <c r="F98" s="51">
        <f>E98*D98*$K$7</f>
        <v>1200000</v>
      </c>
      <c r="G98" s="196">
        <f>SUM(C98*F98)</f>
        <v>1597200.0000000005</v>
      </c>
      <c r="H98" s="61" t="s">
        <v>16</v>
      </c>
      <c r="I98" s="194"/>
      <c r="J98" s="70"/>
      <c r="K98" s="198"/>
      <c r="L98" s="64"/>
      <c r="M98" s="285"/>
      <c r="N98" s="69"/>
    </row>
    <row r="99" spans="1:17" x14ac:dyDescent="0.25">
      <c r="A99" s="9"/>
      <c r="B99" s="9"/>
      <c r="C99" s="43"/>
      <c r="D99" s="90"/>
      <c r="E99" s="65"/>
      <c r="F99" s="51"/>
      <c r="G99" s="196"/>
      <c r="H99" s="61"/>
      <c r="I99" s="205"/>
      <c r="J99" s="70"/>
      <c r="K99" s="198"/>
      <c r="L99" s="64"/>
      <c r="M99" s="285"/>
      <c r="N99" s="69"/>
    </row>
    <row r="100" spans="1:17" x14ac:dyDescent="0.25">
      <c r="A100" s="8"/>
      <c r="B100" s="8"/>
      <c r="C100" s="48"/>
      <c r="D100" s="8"/>
      <c r="E100" s="8"/>
      <c r="F100" s="8"/>
      <c r="G100" s="8"/>
      <c r="H100" s="8"/>
      <c r="I100" s="8"/>
      <c r="J100" s="8"/>
      <c r="K100" s="8"/>
      <c r="L100" s="66"/>
      <c r="M100" s="285"/>
      <c r="N100" s="69"/>
    </row>
    <row r="101" spans="1:17" x14ac:dyDescent="0.25">
      <c r="A101" s="175" t="s">
        <v>1</v>
      </c>
      <c r="B101" s="176" t="s">
        <v>32</v>
      </c>
      <c r="C101" s="176"/>
      <c r="D101" s="175" t="s">
        <v>1</v>
      </c>
      <c r="E101" s="175"/>
      <c r="F101" s="175"/>
      <c r="G101" s="176" t="s">
        <v>32</v>
      </c>
      <c r="H101" s="68"/>
      <c r="I101" s="49"/>
      <c r="J101" s="49"/>
      <c r="L101" s="54"/>
      <c r="M101" s="286"/>
    </row>
    <row r="102" spans="1:17" x14ac:dyDescent="0.25">
      <c r="A102" s="59" t="s">
        <v>75</v>
      </c>
      <c r="B102" s="65">
        <f>SUM(G97:G99)</f>
        <v>1645116.0000000005</v>
      </c>
      <c r="C102" s="79"/>
      <c r="D102" s="433" t="s">
        <v>80</v>
      </c>
      <c r="E102" s="433"/>
      <c r="F102" s="433"/>
      <c r="G102" s="84">
        <f>B102/'Demographic Data'!$B$3</f>
        <v>164.51160000000004</v>
      </c>
      <c r="H102" s="69"/>
      <c r="I102" s="8"/>
      <c r="J102" s="8"/>
      <c r="K102" s="4"/>
      <c r="L102" s="55"/>
      <c r="M102" s="287"/>
      <c r="N102" s="8"/>
      <c r="O102" s="8"/>
      <c r="P102" s="8"/>
    </row>
    <row r="103" spans="1:17" x14ac:dyDescent="0.25">
      <c r="A103" s="59"/>
      <c r="B103" s="86"/>
      <c r="C103" s="79"/>
      <c r="D103" s="433" t="s">
        <v>81</v>
      </c>
      <c r="E103" s="433"/>
      <c r="F103" s="433"/>
      <c r="G103" s="84">
        <f>B102/'Demographic Data'!$B$4</f>
        <v>54.837200000000017</v>
      </c>
      <c r="H103" s="69" t="s">
        <v>1</v>
      </c>
      <c r="I103" s="8"/>
      <c r="J103" s="8"/>
      <c r="L103" s="135"/>
      <c r="M103" s="284"/>
      <c r="N103" s="8"/>
      <c r="O103" s="8"/>
      <c r="P103" s="8"/>
    </row>
    <row r="104" spans="1:17" x14ac:dyDescent="0.25">
      <c r="A104" s="62"/>
      <c r="B104" s="83"/>
      <c r="C104" s="79"/>
      <c r="D104" s="426" t="s">
        <v>82</v>
      </c>
      <c r="E104" s="426"/>
      <c r="F104" s="426"/>
      <c r="G104" s="267">
        <f>B102/'Demographic Data'!$B$5</f>
        <v>1.3709300000000004</v>
      </c>
      <c r="H104" s="145"/>
      <c r="I104" s="8"/>
      <c r="J104" s="8"/>
      <c r="L104" s="135"/>
      <c r="M104" s="284"/>
      <c r="N104" s="8"/>
      <c r="O104" s="8"/>
      <c r="P104" s="8"/>
    </row>
    <row r="105" spans="1:17" x14ac:dyDescent="0.25">
      <c r="A105" s="59"/>
      <c r="B105" s="83"/>
      <c r="C105" s="59"/>
      <c r="D105" s="437" t="s">
        <v>185</v>
      </c>
      <c r="E105" s="437"/>
      <c r="F105" s="437"/>
      <c r="G105" s="268">
        <f>SUM(G98)/'Demographic Data'!B5</f>
        <v>1.3310000000000004</v>
      </c>
      <c r="H105" s="199"/>
      <c r="I105" s="69"/>
      <c r="J105" s="8"/>
      <c r="K105" s="8"/>
      <c r="M105" s="288"/>
      <c r="N105" s="69"/>
      <c r="O105" s="8"/>
      <c r="P105" s="8"/>
      <c r="Q105" s="8"/>
    </row>
    <row r="106" spans="1:17" x14ac:dyDescent="0.25">
      <c r="I106" s="69"/>
      <c r="L106" s="55"/>
      <c r="M106" s="288"/>
      <c r="N106" s="69"/>
      <c r="O106" s="8"/>
      <c r="P106" s="8"/>
      <c r="Q106" s="8"/>
    </row>
    <row r="107" spans="1:17" x14ac:dyDescent="0.25">
      <c r="A107" s="381" t="s">
        <v>324</v>
      </c>
      <c r="B107" s="55"/>
      <c r="C107" s="55"/>
      <c r="D107" s="56"/>
      <c r="E107" s="56"/>
      <c r="F107" s="56"/>
      <c r="G107" s="56"/>
      <c r="H107" s="56"/>
      <c r="I107" s="56"/>
      <c r="J107" s="56"/>
      <c r="K107" s="56"/>
      <c r="L107" s="56"/>
      <c r="M107" s="288"/>
      <c r="N107" s="69"/>
      <c r="O107" s="8"/>
      <c r="P107" s="8"/>
      <c r="Q107" s="8"/>
    </row>
    <row r="108" spans="1:17" s="8" customFormat="1" x14ac:dyDescent="0.25">
      <c r="A108" s="274" t="s">
        <v>236</v>
      </c>
      <c r="B108" s="74">
        <f>B8</f>
        <v>5755736.8317665327</v>
      </c>
      <c r="C108" s="55"/>
      <c r="D108" s="56"/>
      <c r="E108" s="56"/>
      <c r="F108" s="56"/>
      <c r="G108" s="56"/>
      <c r="H108" s="56"/>
      <c r="I108" s="56"/>
      <c r="J108" s="56"/>
      <c r="K108" s="56"/>
      <c r="L108" s="56"/>
      <c r="M108" s="288"/>
      <c r="N108" s="69"/>
    </row>
    <row r="109" spans="1:17" s="8" customFormat="1" x14ac:dyDescent="0.25">
      <c r="A109" s="59" t="s">
        <v>3</v>
      </c>
      <c r="B109" s="74">
        <f>K25+K64+K90+B102+X25+X52+X65</f>
        <v>1775447.5200000005</v>
      </c>
      <c r="D109" s="124"/>
      <c r="E109" s="163"/>
      <c r="F109" s="102"/>
      <c r="G109" s="197"/>
      <c r="H109" s="197"/>
      <c r="I109" s="194"/>
      <c r="J109" s="70"/>
      <c r="K109" s="198"/>
      <c r="L109" s="103"/>
      <c r="M109" s="288"/>
      <c r="N109" s="69"/>
    </row>
    <row r="110" spans="1:17" s="8" customFormat="1" x14ac:dyDescent="0.25">
      <c r="A110" s="59" t="s">
        <v>327</v>
      </c>
      <c r="B110" s="386">
        <f xml:space="preserve"> (B109/B108)</f>
        <v>0.30846572244254011</v>
      </c>
      <c r="D110" s="163"/>
      <c r="E110" s="163"/>
      <c r="F110" s="102"/>
      <c r="G110" s="197"/>
      <c r="H110" s="197"/>
      <c r="I110" s="194"/>
      <c r="J110" s="70"/>
      <c r="K110" s="198"/>
      <c r="L110" s="103"/>
      <c r="M110" s="288"/>
      <c r="N110" s="69"/>
    </row>
    <row r="111" spans="1:17" s="8" customFormat="1" x14ac:dyDescent="0.25">
      <c r="A111" s="59" t="s">
        <v>109</v>
      </c>
      <c r="B111" s="387">
        <f>SUM(K27+K66+K92+X27+X54+X67)</f>
        <v>1325335.7964899999</v>
      </c>
      <c r="C111" s="194"/>
      <c r="D111" s="163"/>
      <c r="E111" s="163"/>
      <c r="F111" s="102"/>
      <c r="G111" s="70"/>
      <c r="H111" s="194"/>
      <c r="I111" s="194"/>
      <c r="J111" s="70"/>
      <c r="K111" s="198"/>
      <c r="L111" s="103"/>
      <c r="M111" s="288"/>
      <c r="N111" s="69"/>
    </row>
    <row r="112" spans="1:17" s="8" customFormat="1" x14ac:dyDescent="0.25">
      <c r="A112" s="59" t="s">
        <v>328</v>
      </c>
      <c r="B112" s="386">
        <f xml:space="preserve"> (B111/$B$108)</f>
        <v>0.23026344588503919</v>
      </c>
      <c r="E112" s="163"/>
      <c r="F112" s="102"/>
      <c r="H112" s="70"/>
      <c r="I112" s="194"/>
      <c r="J112" s="70"/>
      <c r="K112" s="198"/>
      <c r="L112" s="103"/>
      <c r="M112" s="288"/>
      <c r="N112" s="69"/>
    </row>
    <row r="113" spans="1:22" s="8" customFormat="1" x14ac:dyDescent="0.25">
      <c r="A113" s="59" t="s">
        <v>41</v>
      </c>
      <c r="B113" s="74">
        <f>SUM(K26+K65+K91+X26+X53+X66)</f>
        <v>2218651.7152765309</v>
      </c>
      <c r="L113" s="67"/>
      <c r="M113" s="288"/>
      <c r="N113" s="69"/>
    </row>
    <row r="114" spans="1:22" s="8" customFormat="1" x14ac:dyDescent="0.25">
      <c r="A114" s="59" t="s">
        <v>329</v>
      </c>
      <c r="B114" s="386">
        <f xml:space="preserve"> (B113/$B$108)</f>
        <v>0.38546788710553143</v>
      </c>
      <c r="D114" s="49"/>
      <c r="E114" s="49"/>
      <c r="F114" s="49"/>
      <c r="G114" s="55"/>
      <c r="H114" s="55"/>
      <c r="I114" s="68"/>
      <c r="J114" s="49"/>
      <c r="K114" s="49"/>
      <c r="M114" s="288"/>
      <c r="N114" s="69"/>
    </row>
    <row r="115" spans="1:22" s="8" customFormat="1" x14ac:dyDescent="0.25">
      <c r="A115" s="59" t="s">
        <v>15</v>
      </c>
      <c r="B115" s="387">
        <f>SUM(K28+K67+K93+X28+X55)</f>
        <v>436301.80000000022</v>
      </c>
      <c r="D115" s="432"/>
      <c r="E115" s="432"/>
      <c r="F115" s="432"/>
      <c r="G115" s="125"/>
      <c r="H115" s="135"/>
      <c r="I115" s="69"/>
      <c r="L115" s="147"/>
      <c r="M115" s="288"/>
      <c r="N115" s="69"/>
    </row>
    <row r="116" spans="1:22" s="8" customFormat="1" x14ac:dyDescent="0.25">
      <c r="A116" s="59" t="s">
        <v>330</v>
      </c>
      <c r="B116" s="386">
        <f xml:space="preserve"> (B115/$B$108)</f>
        <v>7.5802944566889074E-2</v>
      </c>
      <c r="C116" s="194">
        <f>SUM(B109+B111+B113+B115)</f>
        <v>5755736.8317665309</v>
      </c>
      <c r="D116" s="432"/>
      <c r="E116" s="432"/>
      <c r="F116" s="432"/>
      <c r="G116" s="125"/>
      <c r="H116" s="199"/>
      <c r="I116" s="69"/>
      <c r="M116" s="288"/>
      <c r="N116" s="69"/>
    </row>
    <row r="117" spans="1:22" s="8" customFormat="1" x14ac:dyDescent="0.25">
      <c r="A117" s="59"/>
      <c r="B117" s="74"/>
      <c r="C117" s="388">
        <f>SUM(B110+B112+B114+B116)</f>
        <v>0.99999999999999978</v>
      </c>
      <c r="D117" s="451"/>
      <c r="E117" s="451"/>
      <c r="F117" s="451"/>
      <c r="G117" s="70"/>
      <c r="H117" s="199"/>
      <c r="I117" s="145"/>
      <c r="M117" s="288"/>
      <c r="N117" s="69"/>
    </row>
    <row r="118" spans="1:22" s="8" customFormat="1" x14ac:dyDescent="0.25">
      <c r="A118" s="75"/>
      <c r="B118" s="273"/>
      <c r="C118" s="276"/>
      <c r="D118" s="56"/>
      <c r="E118" s="56"/>
      <c r="F118" s="56"/>
      <c r="G118" s="56"/>
      <c r="H118" s="203"/>
      <c r="I118" s="204"/>
      <c r="J118" s="56"/>
      <c r="K118" s="56"/>
      <c r="L118" s="56"/>
      <c r="M118" s="288"/>
      <c r="N118" s="69"/>
    </row>
    <row r="119" spans="1:22" x14ac:dyDescent="0.25">
      <c r="A119" s="8"/>
      <c r="B119" s="8"/>
      <c r="C119" s="8"/>
      <c r="D119" s="70"/>
      <c r="E119" s="70"/>
      <c r="F119" s="70"/>
      <c r="G119" s="124"/>
      <c r="H119" s="70"/>
      <c r="I119" s="70"/>
      <c r="J119" s="70"/>
      <c r="K119" s="70"/>
      <c r="L119" s="103"/>
      <c r="M119" s="286"/>
      <c r="N119" s="54"/>
    </row>
    <row r="120" spans="1:22" x14ac:dyDescent="0.25">
      <c r="A120" s="8"/>
      <c r="B120" s="8"/>
      <c r="C120" s="8"/>
      <c r="D120" s="8"/>
      <c r="E120" s="8"/>
      <c r="I120" s="432"/>
      <c r="J120" s="432"/>
      <c r="K120" s="432"/>
      <c r="L120" s="67"/>
      <c r="M120" s="282"/>
      <c r="N120" s="69"/>
    </row>
    <row r="121" spans="1:22" x14ac:dyDescent="0.25">
      <c r="A121" s="8"/>
      <c r="B121" s="8"/>
      <c r="C121" s="8"/>
      <c r="D121" s="8"/>
      <c r="E121" s="8"/>
      <c r="M121" s="282"/>
      <c r="N121" s="69"/>
    </row>
    <row r="122" spans="1:22" x14ac:dyDescent="0.25">
      <c r="A122" s="49"/>
      <c r="B122" s="55"/>
      <c r="C122" s="55"/>
      <c r="D122" s="8"/>
      <c r="E122" s="8"/>
      <c r="G122" s="80"/>
      <c r="M122" s="282"/>
      <c r="N122" s="69"/>
    </row>
    <row r="123" spans="1:22" x14ac:dyDescent="0.25">
      <c r="A123" s="8"/>
      <c r="B123" s="8"/>
      <c r="C123" s="49"/>
      <c r="D123" s="8"/>
      <c r="E123" s="206"/>
      <c r="G123" s="80"/>
      <c r="N123" s="8"/>
    </row>
    <row r="124" spans="1:22" x14ac:dyDescent="0.25">
      <c r="A124" s="49"/>
      <c r="B124" s="194"/>
      <c r="C124" s="135"/>
      <c r="D124" s="8"/>
      <c r="E124" s="8"/>
      <c r="G124" s="80"/>
      <c r="M124" s="289"/>
      <c r="N124" s="56"/>
      <c r="O124" s="5"/>
      <c r="P124" s="5"/>
      <c r="Q124" s="5"/>
      <c r="R124" s="5"/>
      <c r="S124" s="4"/>
      <c r="T124" s="5"/>
      <c r="U124" s="5"/>
      <c r="V124" s="5"/>
    </row>
    <row r="125" spans="1:22" x14ac:dyDescent="0.25">
      <c r="A125" s="49"/>
      <c r="B125" s="194"/>
      <c r="C125" s="135"/>
      <c r="D125" s="8"/>
      <c r="E125" s="8"/>
      <c r="N125" s="8"/>
      <c r="T125" s="42"/>
    </row>
    <row r="126" spans="1:22" x14ac:dyDescent="0.25">
      <c r="A126" s="49"/>
      <c r="B126" s="194"/>
      <c r="C126" s="49"/>
      <c r="D126" s="8"/>
      <c r="E126" s="8"/>
      <c r="N126" s="8"/>
    </row>
    <row r="127" spans="1:22" x14ac:dyDescent="0.25">
      <c r="A127" s="49"/>
      <c r="B127" s="194"/>
      <c r="C127" s="135"/>
      <c r="D127" s="8"/>
      <c r="E127" s="8"/>
      <c r="N127" s="8"/>
    </row>
    <row r="128" spans="1:22" x14ac:dyDescent="0.25">
      <c r="A128" s="49"/>
      <c r="B128" s="194"/>
      <c r="C128" s="135"/>
      <c r="D128" s="8"/>
      <c r="E128" s="8"/>
      <c r="M128" s="290"/>
      <c r="N128" s="8"/>
    </row>
    <row r="129" spans="1:14" s="8" customFormat="1" x14ac:dyDescent="0.25">
      <c r="A129" s="49"/>
      <c r="B129" s="194"/>
      <c r="C129" s="135"/>
      <c r="E129" s="206"/>
      <c r="F129"/>
      <c r="G129"/>
      <c r="H129" s="1"/>
      <c r="I129"/>
      <c r="J129"/>
      <c r="K129"/>
      <c r="L129"/>
      <c r="M129" s="291"/>
    </row>
    <row r="130" spans="1:14" s="8" customFormat="1" ht="12" customHeight="1" x14ac:dyDescent="0.25">
      <c r="A130" s="49"/>
      <c r="F130"/>
      <c r="G130"/>
      <c r="H130" s="1"/>
      <c r="I130"/>
      <c r="J130"/>
      <c r="K130"/>
      <c r="L130"/>
      <c r="M130" s="282"/>
    </row>
    <row r="131" spans="1:14" s="8" customFormat="1" hidden="1" x14ac:dyDescent="0.25">
      <c r="A131" s="49"/>
      <c r="B131" s="55"/>
      <c r="C131" s="55"/>
      <c r="F131"/>
      <c r="G131"/>
      <c r="H131" s="1"/>
      <c r="I131"/>
      <c r="J131"/>
      <c r="K131"/>
      <c r="L131"/>
      <c r="M131" s="291"/>
    </row>
    <row r="132" spans="1:14" s="8" customFormat="1" hidden="1" x14ac:dyDescent="0.25">
      <c r="F132"/>
      <c r="G132"/>
      <c r="H132" s="1"/>
      <c r="I132"/>
      <c r="J132"/>
      <c r="K132"/>
      <c r="L132"/>
      <c r="M132" s="291"/>
    </row>
    <row r="133" spans="1:14" s="8" customFormat="1" ht="3" hidden="1" customHeight="1" x14ac:dyDescent="0.25">
      <c r="A133" s="49"/>
      <c r="B133" s="70"/>
      <c r="C133" s="67"/>
      <c r="D133" s="69"/>
      <c r="F133"/>
      <c r="G133"/>
      <c r="H133" s="1"/>
      <c r="I133"/>
      <c r="J133"/>
      <c r="K133"/>
      <c r="L133"/>
      <c r="M133" s="290"/>
      <c r="N133" s="68"/>
    </row>
    <row r="134" spans="1:14" s="8" customFormat="1" hidden="1" x14ac:dyDescent="0.25">
      <c r="A134" s="49"/>
      <c r="B134" s="194"/>
      <c r="C134" s="67"/>
      <c r="D134" s="69"/>
      <c r="F134"/>
      <c r="G134"/>
      <c r="H134" s="1"/>
      <c r="I134"/>
      <c r="J134"/>
      <c r="K134"/>
      <c r="L134"/>
      <c r="M134" s="282"/>
      <c r="N134" s="69"/>
    </row>
    <row r="135" spans="1:14" s="8" customFormat="1" hidden="1" x14ac:dyDescent="0.25">
      <c r="A135" s="49"/>
      <c r="B135" s="194"/>
      <c r="C135" s="67"/>
      <c r="D135" s="69"/>
      <c r="F135"/>
      <c r="G135"/>
      <c r="H135" s="1"/>
      <c r="I135"/>
      <c r="J135"/>
      <c r="K135"/>
      <c r="L135"/>
      <c r="M135" s="282"/>
      <c r="N135" s="69"/>
    </row>
    <row r="136" spans="1:14" s="8" customFormat="1" ht="6.75" hidden="1" customHeight="1" x14ac:dyDescent="0.25">
      <c r="A136" s="49"/>
      <c r="B136" s="194"/>
      <c r="C136" s="67"/>
      <c r="D136" s="69"/>
      <c r="F136"/>
      <c r="G136"/>
      <c r="H136" s="1"/>
      <c r="I136"/>
      <c r="J136"/>
      <c r="K136"/>
      <c r="L136"/>
      <c r="M136" s="7"/>
    </row>
    <row r="137" spans="1:14" s="8" customFormat="1" hidden="1" x14ac:dyDescent="0.25">
      <c r="A137" s="49"/>
      <c r="B137" s="194"/>
      <c r="C137" s="67"/>
      <c r="D137" s="69"/>
      <c r="F137"/>
      <c r="G137"/>
      <c r="H137" s="1"/>
      <c r="I137"/>
      <c r="J137"/>
      <c r="K137"/>
      <c r="L137"/>
      <c r="M137" s="7"/>
    </row>
    <row r="138" spans="1:14" s="8" customFormat="1" ht="14.25" hidden="1" customHeight="1" x14ac:dyDescent="0.25">
      <c r="A138" s="49"/>
      <c r="B138" s="198"/>
      <c r="C138" s="135"/>
      <c r="D138" s="69"/>
      <c r="F138"/>
      <c r="G138"/>
      <c r="H138" s="1"/>
      <c r="I138"/>
      <c r="J138"/>
      <c r="K138"/>
      <c r="L138"/>
      <c r="M138" s="7"/>
    </row>
    <row r="139" spans="1:14" s="8" customFormat="1" hidden="1" x14ac:dyDescent="0.25">
      <c r="A139" s="49"/>
      <c r="F139"/>
      <c r="G139"/>
      <c r="H139" s="1"/>
      <c r="I139"/>
      <c r="J139"/>
      <c r="K139"/>
      <c r="L139"/>
      <c r="M139" s="7"/>
    </row>
    <row r="140" spans="1:14" s="8" customFormat="1" hidden="1" x14ac:dyDescent="0.25">
      <c r="B140" s="194"/>
      <c r="F140"/>
      <c r="G140"/>
      <c r="H140" s="1"/>
      <c r="I140"/>
      <c r="J140"/>
      <c r="K140"/>
      <c r="L140"/>
      <c r="M140" s="7"/>
    </row>
    <row r="141" spans="1:14" s="8" customFormat="1" hidden="1" x14ac:dyDescent="0.25">
      <c r="F141"/>
      <c r="G141"/>
      <c r="H141" s="1"/>
      <c r="I141"/>
      <c r="J141"/>
      <c r="K141"/>
      <c r="L141"/>
      <c r="M141" s="7"/>
    </row>
    <row r="142" spans="1:14" s="8" customFormat="1" hidden="1" x14ac:dyDescent="0.25">
      <c r="F142"/>
      <c r="G142"/>
      <c r="H142" s="1"/>
      <c r="I142"/>
      <c r="J142"/>
      <c r="K142"/>
      <c r="L142"/>
      <c r="M142" s="7"/>
    </row>
    <row r="143" spans="1:14" s="8" customFormat="1" hidden="1" x14ac:dyDescent="0.25">
      <c r="F143"/>
      <c r="G143"/>
      <c r="H143" s="1"/>
      <c r="I143"/>
      <c r="J143"/>
      <c r="K143"/>
      <c r="L143"/>
      <c r="M143" s="144"/>
      <c r="N143" s="118"/>
    </row>
    <row r="144" spans="1:14" s="8" customFormat="1" hidden="1" x14ac:dyDescent="0.25">
      <c r="F144"/>
      <c r="G144"/>
      <c r="H144" s="1"/>
      <c r="I144"/>
      <c r="J144"/>
      <c r="K144"/>
      <c r="L144"/>
      <c r="M144" s="292"/>
      <c r="N144" s="97"/>
    </row>
    <row r="145" spans="1:14" s="8" customFormat="1" hidden="1" x14ac:dyDescent="0.25">
      <c r="F145"/>
      <c r="G145"/>
      <c r="H145" s="1"/>
      <c r="I145"/>
      <c r="J145"/>
      <c r="K145"/>
      <c r="L145"/>
      <c r="M145" s="292"/>
      <c r="N145" s="97"/>
    </row>
    <row r="146" spans="1:14" s="8" customFormat="1" hidden="1" x14ac:dyDescent="0.25">
      <c r="F146"/>
      <c r="G146"/>
      <c r="H146" s="1"/>
      <c r="I146"/>
      <c r="J146"/>
      <c r="K146"/>
      <c r="L146"/>
      <c r="M146" s="292"/>
      <c r="N146" s="97"/>
    </row>
    <row r="147" spans="1:14" s="8" customFormat="1" hidden="1" x14ac:dyDescent="0.25">
      <c r="F147"/>
      <c r="G147"/>
      <c r="H147" s="1"/>
      <c r="I147"/>
      <c r="J147"/>
      <c r="K147"/>
      <c r="L147"/>
      <c r="M147" s="292"/>
      <c r="N147" s="97"/>
    </row>
    <row r="148" spans="1:14" s="8" customFormat="1" hidden="1" x14ac:dyDescent="0.25">
      <c r="F148"/>
      <c r="G148"/>
      <c r="H148" s="1"/>
      <c r="I148"/>
      <c r="J148"/>
      <c r="K148"/>
      <c r="L148"/>
      <c r="M148" s="282"/>
      <c r="N148" s="69"/>
    </row>
    <row r="149" spans="1:14" s="8" customFormat="1" hidden="1" x14ac:dyDescent="0.25">
      <c r="F149"/>
      <c r="G149"/>
      <c r="H149" s="1"/>
      <c r="I149"/>
      <c r="J149"/>
      <c r="K149"/>
      <c r="L149"/>
      <c r="M149" s="282"/>
      <c r="N149" s="69"/>
    </row>
    <row r="150" spans="1:14" s="8" customFormat="1" hidden="1" x14ac:dyDescent="0.25">
      <c r="F150"/>
      <c r="G150"/>
      <c r="H150" s="1"/>
      <c r="I150"/>
      <c r="J150"/>
      <c r="K150"/>
      <c r="L150"/>
      <c r="M150" s="282"/>
      <c r="N150" s="69"/>
    </row>
    <row r="151" spans="1:14" s="8" customFormat="1" hidden="1" x14ac:dyDescent="0.25">
      <c r="F151"/>
      <c r="G151"/>
      <c r="H151" s="1"/>
      <c r="I151"/>
      <c r="J151"/>
      <c r="K151"/>
      <c r="L151"/>
      <c r="M151" s="282"/>
      <c r="N151" s="69"/>
    </row>
    <row r="152" spans="1:14" s="8" customFormat="1" hidden="1" x14ac:dyDescent="0.25">
      <c r="F152"/>
      <c r="G152"/>
      <c r="H152" s="1"/>
      <c r="I152"/>
      <c r="J152"/>
      <c r="K152"/>
      <c r="L152"/>
      <c r="M152" s="144"/>
      <c r="N152" s="118"/>
    </row>
    <row r="153" spans="1:14" s="8" customFormat="1" hidden="1" x14ac:dyDescent="0.25">
      <c r="F153"/>
      <c r="G153"/>
      <c r="H153" s="1"/>
      <c r="I153"/>
      <c r="J153"/>
      <c r="K153"/>
      <c r="L153"/>
      <c r="M153" s="292"/>
      <c r="N153" s="97"/>
    </row>
    <row r="154" spans="1:14" s="8" customFormat="1" hidden="1" x14ac:dyDescent="0.25">
      <c r="F154"/>
      <c r="G154"/>
      <c r="H154" s="1"/>
      <c r="I154"/>
      <c r="J154"/>
      <c r="K154"/>
      <c r="L154"/>
      <c r="M154" s="282"/>
      <c r="N154" s="69"/>
    </row>
    <row r="155" spans="1:14" hidden="1" x14ac:dyDescent="0.25">
      <c r="A155" s="8"/>
      <c r="B155" s="8"/>
      <c r="C155" s="8"/>
      <c r="D155" s="8"/>
      <c r="E155" s="8"/>
      <c r="M155" s="282"/>
      <c r="N155" s="69"/>
    </row>
    <row r="156" spans="1:14" x14ac:dyDescent="0.25">
      <c r="A156" s="8"/>
      <c r="B156" s="8"/>
      <c r="C156" s="8"/>
      <c r="D156" s="8"/>
      <c r="E156" s="8"/>
    </row>
    <row r="157" spans="1:14" x14ac:dyDescent="0.25">
      <c r="A157" s="8"/>
      <c r="B157" s="8"/>
      <c r="C157" s="8"/>
      <c r="D157" s="8"/>
      <c r="E157" s="8"/>
    </row>
    <row r="158" spans="1:14" x14ac:dyDescent="0.25">
      <c r="A158" s="8"/>
      <c r="B158" s="8"/>
      <c r="C158" s="8"/>
      <c r="D158" s="8"/>
      <c r="E158" s="8"/>
    </row>
  </sheetData>
  <mergeCells count="45">
    <mergeCell ref="D105:F105"/>
    <mergeCell ref="D115:F115"/>
    <mergeCell ref="D116:F116"/>
    <mergeCell ref="D117:F117"/>
    <mergeCell ref="I120:K120"/>
    <mergeCell ref="D104:F104"/>
    <mergeCell ref="D64:F64"/>
    <mergeCell ref="D65:F65"/>
    <mergeCell ref="D66:F66"/>
    <mergeCell ref="D67:F67"/>
    <mergeCell ref="D91:F91"/>
    <mergeCell ref="D92:F92"/>
    <mergeCell ref="D93:F93"/>
    <mergeCell ref="D102:F102"/>
    <mergeCell ref="D103:F103"/>
    <mergeCell ref="I68:K68"/>
    <mergeCell ref="D90:F90"/>
    <mergeCell ref="E1:H1"/>
    <mergeCell ref="I1:M1"/>
    <mergeCell ref="E2:H2"/>
    <mergeCell ref="I2:M2"/>
    <mergeCell ref="H28:J28"/>
    <mergeCell ref="I29:K29"/>
    <mergeCell ref="R1:U1"/>
    <mergeCell ref="V1:Z1"/>
    <mergeCell ref="R2:T2"/>
    <mergeCell ref="U2:X2"/>
    <mergeCell ref="R3:S3"/>
    <mergeCell ref="U3:W3"/>
    <mergeCell ref="R4:S4"/>
    <mergeCell ref="U4:W4"/>
    <mergeCell ref="U6:W6"/>
    <mergeCell ref="R7:S7"/>
    <mergeCell ref="U7:W7"/>
    <mergeCell ref="R8:S8"/>
    <mergeCell ref="U28:W28"/>
    <mergeCell ref="V29:X29"/>
    <mergeCell ref="Q52:S52"/>
    <mergeCell ref="Q53:S53"/>
    <mergeCell ref="Q67:S67"/>
    <mergeCell ref="Q54:S54"/>
    <mergeCell ref="Q55:S55"/>
    <mergeCell ref="V56:X56"/>
    <mergeCell ref="Q65:S65"/>
    <mergeCell ref="Q66:S66"/>
  </mergeCells>
  <dataValidations count="2">
    <dataValidation type="list" allowBlank="1" showInputMessage="1" showErrorMessage="1" sqref="L119 L62 L31:L32 L97:L99 L109:L112 L23 H12:H22 H35:H61 L88 H73:H87 H97:H99 Y50 Y31:Y32 Y23 U12:U22 U35:U49 Y59:Y63 U59:U62" xr:uid="{FC149C46-EA57-40A4-8F36-B838F1096FEB}">
      <formula1>"Yes, No, N/A"</formula1>
    </dataValidation>
    <dataValidation type="list" allowBlank="1" showInputMessage="1" showErrorMessage="1" sqref="P63" xr:uid="{6018444D-1964-4624-B4F4-9B3FECB2ED71}">
      <formula1>"2020,2021,2022,2023,2024"</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171C673-49E1-4B25-A730-C9F178E4F8B9}">
          <x14:formula1>
            <xm:f>'Reference Sheet'!$E$2:$E$10</xm:f>
          </x14:formula1>
          <xm:sqref>B119 B73:B88 B31:B32 B35:B62 B97 B12:B23 O31:O32 O12:O23 O35:O50</xm:sqref>
        </x14:dataValidation>
        <x14:dataValidation type="list" allowBlank="1" showInputMessage="1" showErrorMessage="1" xr:uid="{7374D212-F52B-48E1-B7AC-9E5391CB6770}">
          <x14:formula1>
            <xm:f>'Reference Sheet'!$E$3:$E$10</xm:f>
          </x14:formula1>
          <xm:sqref>B98:B99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E2DFA-E3ED-4FBD-BA78-9563C6ED1977}">
  <sheetPr>
    <tabColor theme="1"/>
  </sheetPr>
  <dimension ref="A1:Q69"/>
  <sheetViews>
    <sheetView topLeftCell="A48" workbookViewId="0">
      <selection activeCell="G65" sqref="G65"/>
    </sheetView>
  </sheetViews>
  <sheetFormatPr defaultRowHeight="15" x14ac:dyDescent="0.25"/>
  <cols>
    <col min="1" max="1" width="43" customWidth="1"/>
    <col min="2" max="3" width="12.7109375" customWidth="1"/>
    <col min="4" max="4" width="13" customWidth="1"/>
    <col min="5" max="6" width="12.7109375" customWidth="1"/>
    <col min="7" max="7" width="19.28515625" customWidth="1"/>
    <col min="8" max="9" width="12.7109375" customWidth="1"/>
    <col min="10" max="10" width="15.5703125" customWidth="1"/>
    <col min="11" max="11" width="12.7109375" customWidth="1"/>
    <col min="12" max="12" width="23.28515625" customWidth="1"/>
    <col min="13" max="14" width="12.7109375" customWidth="1"/>
  </cols>
  <sheetData>
    <row r="1" spans="1:17" ht="60" x14ac:dyDescent="0.25">
      <c r="A1" s="329" t="s">
        <v>216</v>
      </c>
      <c r="B1" s="329" t="s">
        <v>43</v>
      </c>
      <c r="C1" s="330" t="s">
        <v>111</v>
      </c>
      <c r="D1" s="167" t="s">
        <v>131</v>
      </c>
      <c r="E1" s="439" t="s">
        <v>261</v>
      </c>
      <c r="F1" s="440"/>
      <c r="G1" s="440"/>
      <c r="H1" s="440"/>
      <c r="I1" s="441"/>
      <c r="J1" s="441"/>
      <c r="K1" s="441"/>
      <c r="L1" s="441"/>
      <c r="M1" s="441"/>
    </row>
    <row r="2" spans="1:17" x14ac:dyDescent="0.25">
      <c r="C2" s="1"/>
      <c r="D2" s="253"/>
      <c r="E2" s="442" t="s">
        <v>265</v>
      </c>
      <c r="F2" s="443"/>
      <c r="G2" s="444"/>
      <c r="H2" s="445" t="s">
        <v>264</v>
      </c>
      <c r="I2" s="445"/>
      <c r="J2" s="445"/>
      <c r="K2" s="445"/>
      <c r="L2" s="8"/>
      <c r="M2" s="7"/>
    </row>
    <row r="3" spans="1:17" x14ac:dyDescent="0.25">
      <c r="A3" s="75" t="s">
        <v>151</v>
      </c>
      <c r="B3" s="78">
        <f>B25+B52</f>
        <v>220008.00000000003</v>
      </c>
      <c r="C3" s="207">
        <f>B3/B8</f>
        <v>0.27345859682994378</v>
      </c>
      <c r="D3" s="227">
        <f>G28+G54</f>
        <v>0.18334</v>
      </c>
      <c r="E3" s="434" t="s">
        <v>262</v>
      </c>
      <c r="F3" s="435"/>
      <c r="G3" s="9">
        <v>2</v>
      </c>
      <c r="H3" s="434" t="s">
        <v>301</v>
      </c>
      <c r="I3" s="436"/>
      <c r="J3" s="435"/>
      <c r="K3" s="331">
        <v>9</v>
      </c>
      <c r="L3" s="8"/>
      <c r="M3" s="7"/>
    </row>
    <row r="4" spans="1:17" x14ac:dyDescent="0.25">
      <c r="A4" s="75"/>
      <c r="B4" s="75"/>
      <c r="C4" s="79"/>
      <c r="D4" s="227"/>
      <c r="E4" s="434" t="s">
        <v>263</v>
      </c>
      <c r="F4" s="435"/>
      <c r="G4" s="9">
        <v>3</v>
      </c>
      <c r="H4" s="434"/>
      <c r="I4" s="436"/>
      <c r="J4" s="435"/>
      <c r="K4" s="61"/>
      <c r="L4" s="8"/>
      <c r="M4" s="7"/>
    </row>
    <row r="5" spans="1:17" x14ac:dyDescent="0.25">
      <c r="A5" s="75"/>
      <c r="B5" s="75"/>
      <c r="C5" s="75"/>
      <c r="D5" s="99"/>
      <c r="E5" s="63"/>
      <c r="F5" s="63"/>
      <c r="G5" s="90"/>
      <c r="J5" s="280"/>
      <c r="K5" s="281"/>
      <c r="L5" s="8"/>
      <c r="M5" s="7"/>
    </row>
    <row r="6" spans="1:17" x14ac:dyDescent="0.25">
      <c r="A6" s="75" t="s">
        <v>260</v>
      </c>
      <c r="B6" s="78">
        <f>B65</f>
        <v>584530.61224489799</v>
      </c>
      <c r="C6" s="207">
        <f>B6/B8</f>
        <v>0.72654140317005622</v>
      </c>
      <c r="D6" s="227">
        <f>G67</f>
        <v>0.48710884353741501</v>
      </c>
      <c r="E6" s="63"/>
      <c r="F6" s="63"/>
      <c r="G6" s="279"/>
      <c r="H6" s="437"/>
      <c r="I6" s="437"/>
      <c r="J6" s="437"/>
      <c r="K6" s="9"/>
      <c r="L6" s="8"/>
      <c r="M6" s="7"/>
    </row>
    <row r="7" spans="1:17" x14ac:dyDescent="0.25">
      <c r="A7" s="254"/>
      <c r="B7" s="255"/>
      <c r="C7" s="79"/>
      <c r="D7" s="256"/>
      <c r="E7" s="434" t="s">
        <v>229</v>
      </c>
      <c r="F7" s="435"/>
      <c r="G7" s="60">
        <v>1</v>
      </c>
      <c r="H7" s="438"/>
      <c r="I7" s="438"/>
      <c r="J7" s="438"/>
      <c r="K7" s="57"/>
      <c r="L7" s="8"/>
      <c r="M7" s="7"/>
    </row>
    <row r="8" spans="1:17" x14ac:dyDescent="0.25">
      <c r="A8" s="75" t="s">
        <v>42</v>
      </c>
      <c r="B8" s="78">
        <f>B3+B6</f>
        <v>804538.61224489799</v>
      </c>
      <c r="C8" s="79"/>
      <c r="D8" s="227">
        <f>SUM(D3+D6)</f>
        <v>0.67044884353741496</v>
      </c>
      <c r="E8" s="434" t="s">
        <v>230</v>
      </c>
      <c r="F8" s="435"/>
      <c r="G8" s="60">
        <v>0.1</v>
      </c>
      <c r="H8" s="8"/>
      <c r="I8" s="49"/>
      <c r="J8" s="8"/>
      <c r="K8" s="8"/>
      <c r="L8" s="8"/>
      <c r="M8" s="7"/>
    </row>
    <row r="9" spans="1:17" s="339" customFormat="1" x14ac:dyDescent="0.25">
      <c r="A9" s="333"/>
      <c r="B9" s="334"/>
      <c r="C9" s="335"/>
      <c r="D9" s="336"/>
      <c r="E9" s="337"/>
      <c r="F9" s="337"/>
      <c r="G9" s="338"/>
      <c r="I9" s="333"/>
    </row>
    <row r="10" spans="1:17" x14ac:dyDescent="0.25">
      <c r="A10" s="329" t="s">
        <v>266</v>
      </c>
      <c r="B10" s="10" t="s">
        <v>217</v>
      </c>
      <c r="C10" s="277">
        <f>$G$7</f>
        <v>1</v>
      </c>
      <c r="G10" s="10" t="s">
        <v>40</v>
      </c>
      <c r="H10" s="75">
        <f>$G$3</f>
        <v>2</v>
      </c>
    </row>
    <row r="11" spans="1:17" ht="39.75" customHeight="1" x14ac:dyDescent="0.25">
      <c r="A11" s="142" t="s">
        <v>208</v>
      </c>
      <c r="B11" s="144" t="s">
        <v>0</v>
      </c>
      <c r="C11" s="143" t="s">
        <v>44</v>
      </c>
      <c r="D11" s="143" t="s">
        <v>25</v>
      </c>
      <c r="E11" s="143" t="s">
        <v>20</v>
      </c>
      <c r="F11" s="143" t="s">
        <v>21</v>
      </c>
      <c r="G11" s="143" t="s">
        <v>105</v>
      </c>
      <c r="H11" s="143" t="s">
        <v>17</v>
      </c>
      <c r="M11" s="8"/>
      <c r="N11" s="8"/>
      <c r="O11" s="8"/>
      <c r="P11" s="8"/>
      <c r="Q11" s="8"/>
    </row>
    <row r="12" spans="1:17" x14ac:dyDescent="0.25">
      <c r="A12" s="50" t="s">
        <v>28</v>
      </c>
      <c r="B12" s="9"/>
      <c r="C12" s="119"/>
      <c r="D12" s="58"/>
      <c r="E12" s="58">
        <v>20</v>
      </c>
      <c r="F12" s="65">
        <f>D12*E12</f>
        <v>0</v>
      </c>
      <c r="G12" s="110"/>
      <c r="H12" s="61" t="s">
        <v>18</v>
      </c>
      <c r="I12" s="8"/>
      <c r="J12" s="8"/>
      <c r="K12" s="8"/>
      <c r="L12" s="8"/>
      <c r="M12" s="8"/>
      <c r="N12" s="8"/>
      <c r="O12" s="8"/>
      <c r="P12" s="8"/>
      <c r="Q12" s="8"/>
    </row>
    <row r="13" spans="1:17" x14ac:dyDescent="0.25">
      <c r="A13" s="50" t="s">
        <v>78</v>
      </c>
      <c r="B13" s="9"/>
      <c r="C13" s="185"/>
      <c r="D13" s="58"/>
      <c r="E13" s="58">
        <v>100</v>
      </c>
      <c r="F13" s="65">
        <f>D13*E13</f>
        <v>0</v>
      </c>
      <c r="G13" s="110"/>
      <c r="H13" s="61" t="s">
        <v>18</v>
      </c>
      <c r="I13" s="8"/>
      <c r="J13" s="8"/>
      <c r="K13" s="8"/>
      <c r="L13" s="8"/>
      <c r="M13" s="8"/>
      <c r="N13" s="8"/>
      <c r="O13" s="8"/>
      <c r="P13" s="8"/>
      <c r="Q13" s="8"/>
    </row>
    <row r="14" spans="1:17" x14ac:dyDescent="0.25">
      <c r="A14" s="50" t="s">
        <v>26</v>
      </c>
      <c r="B14" s="9" t="s">
        <v>3</v>
      </c>
      <c r="C14" s="185">
        <f>'Prices_non-Labor'!$E$12</f>
        <v>1.2</v>
      </c>
      <c r="D14" s="58">
        <v>1</v>
      </c>
      <c r="E14" s="58">
        <f>SUM(E12:E13)*D14</f>
        <v>120</v>
      </c>
      <c r="F14" s="62">
        <f>E14</f>
        <v>120</v>
      </c>
      <c r="G14" s="189">
        <f t="shared" ref="G14:G22" si="0">F14*C14</f>
        <v>144</v>
      </c>
      <c r="H14" s="61" t="s">
        <v>16</v>
      </c>
      <c r="I14" s="8"/>
      <c r="J14" s="8"/>
      <c r="K14" s="8"/>
      <c r="L14" s="8"/>
      <c r="M14" s="8"/>
      <c r="N14" s="8"/>
      <c r="O14" s="8"/>
      <c r="P14" s="8"/>
      <c r="Q14" s="8"/>
    </row>
    <row r="15" spans="1:17" x14ac:dyDescent="0.25">
      <c r="A15" s="50" t="s">
        <v>79</v>
      </c>
      <c r="B15" s="9" t="s">
        <v>3</v>
      </c>
      <c r="C15" s="185">
        <f>'Prices_non-Labor'!$E$13</f>
        <v>1</v>
      </c>
      <c r="D15" s="58">
        <v>0.2</v>
      </c>
      <c r="E15" s="58">
        <f>SUM(E12:E13)</f>
        <v>120</v>
      </c>
      <c r="F15" s="62">
        <f>E15*D15</f>
        <v>24</v>
      </c>
      <c r="G15" s="189">
        <f t="shared" si="0"/>
        <v>24</v>
      </c>
      <c r="H15" s="61" t="s">
        <v>16</v>
      </c>
      <c r="I15" s="8"/>
      <c r="J15" s="8"/>
      <c r="K15" s="8"/>
      <c r="L15" s="8"/>
      <c r="M15" s="8"/>
      <c r="N15" s="8"/>
      <c r="O15" s="8"/>
      <c r="P15" s="8"/>
      <c r="Q15" s="8"/>
    </row>
    <row r="16" spans="1:17" x14ac:dyDescent="0.25">
      <c r="A16" s="50" t="s">
        <v>289</v>
      </c>
      <c r="B16" s="9" t="s">
        <v>3</v>
      </c>
      <c r="C16" s="185">
        <f>'Prices_non-Labor'!$E$11</f>
        <v>1</v>
      </c>
      <c r="D16" s="61">
        <v>1</v>
      </c>
      <c r="E16" s="57">
        <f>$E$12</f>
        <v>20</v>
      </c>
      <c r="F16" s="9">
        <f t="shared" ref="F16:F21" si="1">SUM(E16*D16)</f>
        <v>20</v>
      </c>
      <c r="G16" s="189">
        <f t="shared" si="0"/>
        <v>20</v>
      </c>
      <c r="H16" s="61" t="s">
        <v>16</v>
      </c>
      <c r="M16" s="8"/>
      <c r="N16" s="8"/>
      <c r="O16" s="8"/>
      <c r="P16" s="8"/>
      <c r="Q16" s="8"/>
    </row>
    <row r="17" spans="1:17" x14ac:dyDescent="0.25">
      <c r="A17" s="50" t="s">
        <v>290</v>
      </c>
      <c r="B17" s="9" t="s">
        <v>3</v>
      </c>
      <c r="C17" s="185">
        <f>'Prices_non-Labor'!$E$11</f>
        <v>1</v>
      </c>
      <c r="D17" s="61">
        <v>1</v>
      </c>
      <c r="E17" s="57">
        <f>$E$13</f>
        <v>100</v>
      </c>
      <c r="F17" s="9">
        <f t="shared" si="1"/>
        <v>100</v>
      </c>
      <c r="G17" s="189">
        <f t="shared" si="0"/>
        <v>100</v>
      </c>
      <c r="H17" s="61" t="s">
        <v>16</v>
      </c>
      <c r="I17" s="205"/>
      <c r="M17" s="8"/>
      <c r="N17" s="8"/>
      <c r="O17" s="8"/>
      <c r="P17" s="8"/>
      <c r="Q17" s="8"/>
    </row>
    <row r="18" spans="1:17" x14ac:dyDescent="0.25">
      <c r="A18" s="50" t="s">
        <v>28</v>
      </c>
      <c r="B18" s="9" t="s">
        <v>41</v>
      </c>
      <c r="C18" s="185">
        <f>'Prices_non-Labor'!$E$36</f>
        <v>34</v>
      </c>
      <c r="D18" s="61">
        <v>1</v>
      </c>
      <c r="E18" s="57">
        <f>$E$12</f>
        <v>20</v>
      </c>
      <c r="F18" s="9">
        <f t="shared" si="1"/>
        <v>20</v>
      </c>
      <c r="G18" s="189">
        <f t="shared" si="0"/>
        <v>680</v>
      </c>
      <c r="H18" s="61" t="s">
        <v>16</v>
      </c>
      <c r="M18" s="8"/>
      <c r="N18" s="8"/>
      <c r="O18" s="8"/>
      <c r="P18" s="8"/>
      <c r="Q18" s="8"/>
    </row>
    <row r="19" spans="1:17" x14ac:dyDescent="0.25">
      <c r="A19" s="50" t="s">
        <v>78</v>
      </c>
      <c r="B19" s="9" t="s">
        <v>41</v>
      </c>
      <c r="C19" s="185">
        <f>'Prices_non-Labor'!$E$36</f>
        <v>34</v>
      </c>
      <c r="D19" s="61">
        <v>1</v>
      </c>
      <c r="E19" s="57">
        <f>$E$13</f>
        <v>100</v>
      </c>
      <c r="F19" s="9">
        <f t="shared" si="1"/>
        <v>100</v>
      </c>
      <c r="G19" s="189">
        <f t="shared" si="0"/>
        <v>3400</v>
      </c>
      <c r="H19" s="61" t="s">
        <v>16</v>
      </c>
      <c r="I19" s="205"/>
      <c r="M19" s="8"/>
      <c r="N19" s="8"/>
      <c r="O19" s="8"/>
      <c r="P19" s="8"/>
      <c r="Q19" s="8"/>
    </row>
    <row r="20" spans="1:17" x14ac:dyDescent="0.25">
      <c r="A20" s="50" t="s">
        <v>28</v>
      </c>
      <c r="B20" s="9" t="s">
        <v>109</v>
      </c>
      <c r="C20" s="185">
        <f>'Prices_non-Labor'!$E$35</f>
        <v>24</v>
      </c>
      <c r="D20" s="61">
        <f t="shared" ref="D20:D22" si="2">$H$10</f>
        <v>2</v>
      </c>
      <c r="E20" s="57">
        <f>$E$12</f>
        <v>20</v>
      </c>
      <c r="F20" s="9">
        <f t="shared" si="1"/>
        <v>40</v>
      </c>
      <c r="G20" s="189">
        <f t="shared" si="0"/>
        <v>960</v>
      </c>
      <c r="H20" s="61" t="s">
        <v>16</v>
      </c>
      <c r="M20" s="8"/>
      <c r="N20" s="8"/>
      <c r="O20" s="8"/>
      <c r="P20" s="8"/>
      <c r="Q20" s="8"/>
    </row>
    <row r="21" spans="1:17" x14ac:dyDescent="0.25">
      <c r="A21" s="50" t="s">
        <v>78</v>
      </c>
      <c r="B21" s="9" t="s">
        <v>109</v>
      </c>
      <c r="C21" s="185">
        <f>'Prices_non-Labor'!$E$35</f>
        <v>24</v>
      </c>
      <c r="D21" s="61">
        <f t="shared" si="2"/>
        <v>2</v>
      </c>
      <c r="E21" s="57">
        <f>$E$13</f>
        <v>100</v>
      </c>
      <c r="F21" s="9">
        <f t="shared" si="1"/>
        <v>200</v>
      </c>
      <c r="G21" s="189">
        <f t="shared" si="0"/>
        <v>4800</v>
      </c>
      <c r="H21" s="61" t="s">
        <v>16</v>
      </c>
      <c r="M21" s="8"/>
      <c r="N21" s="8"/>
      <c r="O21" s="8"/>
      <c r="P21" s="8"/>
      <c r="Q21" s="8"/>
    </row>
    <row r="22" spans="1:17" x14ac:dyDescent="0.25">
      <c r="A22" s="50" t="s">
        <v>39</v>
      </c>
      <c r="B22" s="9" t="s">
        <v>15</v>
      </c>
      <c r="C22" s="185">
        <f>'Prices_non-Labor'!E24</f>
        <v>110.00000000000001</v>
      </c>
      <c r="D22" s="61">
        <f t="shared" si="2"/>
        <v>2</v>
      </c>
      <c r="E22" s="57">
        <f>$E$12</f>
        <v>20</v>
      </c>
      <c r="F22" s="9">
        <f>E22*H10</f>
        <v>40</v>
      </c>
      <c r="G22" s="189">
        <f t="shared" si="0"/>
        <v>4400.0000000000009</v>
      </c>
      <c r="H22" s="61" t="s">
        <v>16</v>
      </c>
      <c r="M22" s="8"/>
      <c r="N22" s="8"/>
      <c r="O22" s="8"/>
      <c r="P22" s="8"/>
      <c r="Q22" s="8"/>
    </row>
    <row r="23" spans="1:17" x14ac:dyDescent="0.25">
      <c r="A23" s="168"/>
      <c r="D23" s="8"/>
      <c r="E23" s="149"/>
      <c r="F23" s="174"/>
      <c r="G23" s="64"/>
      <c r="H23" s="64"/>
      <c r="K23" s="72"/>
      <c r="L23" s="64"/>
      <c r="M23" s="8"/>
      <c r="N23" s="8"/>
      <c r="O23" s="8"/>
      <c r="P23" s="8"/>
      <c r="Q23" s="8"/>
    </row>
    <row r="24" spans="1:17" ht="33" customHeight="1" x14ac:dyDescent="0.25">
      <c r="A24" s="175" t="s">
        <v>276</v>
      </c>
      <c r="B24" s="176" t="s">
        <v>32</v>
      </c>
      <c r="C24" s="176"/>
      <c r="D24" s="175" t="s">
        <v>277</v>
      </c>
      <c r="E24" s="175"/>
      <c r="F24" s="175"/>
      <c r="G24" s="176" t="s">
        <v>32</v>
      </c>
      <c r="H24" s="175" t="s">
        <v>282</v>
      </c>
      <c r="I24" s="175"/>
      <c r="J24" s="175"/>
      <c r="K24" s="176" t="s">
        <v>32</v>
      </c>
      <c r="L24" s="332" t="s">
        <v>45</v>
      </c>
      <c r="M24" s="8"/>
      <c r="N24" s="8"/>
      <c r="O24" s="8"/>
      <c r="P24" s="8"/>
      <c r="Q24" s="8"/>
    </row>
    <row r="25" spans="1:17" x14ac:dyDescent="0.25">
      <c r="A25" s="59" t="s">
        <v>291</v>
      </c>
      <c r="B25" s="186">
        <f>SUM(G14:G22)</f>
        <v>14528</v>
      </c>
      <c r="C25" s="85"/>
      <c r="D25" s="50" t="s">
        <v>278</v>
      </c>
      <c r="E25" s="59"/>
      <c r="F25" s="50"/>
      <c r="G25" s="191">
        <f>B25/'Demographic Data'!$B$2</f>
        <v>145.28</v>
      </c>
      <c r="H25" s="115" t="s">
        <v>283</v>
      </c>
      <c r="I25" s="116"/>
      <c r="J25" s="117"/>
      <c r="K25" s="71">
        <f>SUMIFS($G$12:$G$22, $B$12:$B$22, "Materials", $H$12:$H$22, "Yes")</f>
        <v>288</v>
      </c>
      <c r="L25" s="97">
        <f>K25/$B$25</f>
        <v>1.9823788546255508E-2</v>
      </c>
      <c r="M25" s="8"/>
      <c r="N25" s="8"/>
      <c r="O25" s="8"/>
      <c r="P25" s="8"/>
      <c r="Q25" s="8"/>
    </row>
    <row r="26" spans="1:17" x14ac:dyDescent="0.25">
      <c r="A26" s="59"/>
      <c r="B26" s="65"/>
      <c r="C26" s="65"/>
      <c r="D26" s="50" t="s">
        <v>279</v>
      </c>
      <c r="E26" s="59"/>
      <c r="F26" s="50"/>
      <c r="G26" s="192">
        <f>B25/'Demographic Data'!$B$3</f>
        <v>1.4528000000000001</v>
      </c>
      <c r="H26" s="115" t="s">
        <v>284</v>
      </c>
      <c r="I26" s="116"/>
      <c r="J26" s="117"/>
      <c r="K26" s="71">
        <f>SUMIFS($G$12:$G$22, $B$12:$B$22, "Transportation", $H$12:$H$22, "Yes")</f>
        <v>4080</v>
      </c>
      <c r="L26" s="97">
        <f>K26/$B$25</f>
        <v>0.28083700440528636</v>
      </c>
      <c r="M26" s="8"/>
      <c r="N26" s="8"/>
      <c r="O26" s="8"/>
      <c r="P26" s="8"/>
      <c r="Q26" s="8"/>
    </row>
    <row r="27" spans="1:17" x14ac:dyDescent="0.25">
      <c r="A27" s="59"/>
      <c r="B27" s="74"/>
      <c r="C27" s="82"/>
      <c r="D27" s="50" t="s">
        <v>280</v>
      </c>
      <c r="E27" s="59"/>
      <c r="F27" s="50"/>
      <c r="G27" s="192">
        <f>B25/'Demographic Data'!$B$4</f>
        <v>0.48426666666666668</v>
      </c>
      <c r="H27" s="115" t="s">
        <v>285</v>
      </c>
      <c r="I27" s="116"/>
      <c r="J27" s="117"/>
      <c r="K27" s="71">
        <f>SUMIFS($G$12:$G$22, $B$12:$B$22, "Meals/Per Diem", $H$12:$H$22, "Yes")</f>
        <v>5760</v>
      </c>
      <c r="L27" s="97">
        <f>K27/$B$25</f>
        <v>0.3964757709251101</v>
      </c>
      <c r="M27" s="8"/>
      <c r="N27" s="8"/>
      <c r="O27" s="8"/>
      <c r="P27" s="8"/>
      <c r="Q27" s="8"/>
    </row>
    <row r="28" spans="1:17" x14ac:dyDescent="0.25">
      <c r="A28" s="8"/>
      <c r="B28" s="8"/>
      <c r="C28" s="8"/>
      <c r="D28" s="50" t="s">
        <v>281</v>
      </c>
      <c r="E28" s="59"/>
      <c r="F28" s="75"/>
      <c r="G28" s="134">
        <f>B25/'Demographic Data'!$B$5</f>
        <v>1.2106666666666667E-2</v>
      </c>
      <c r="H28" s="433" t="s">
        <v>286</v>
      </c>
      <c r="I28" s="433"/>
      <c r="J28" s="433"/>
      <c r="K28" s="71">
        <f>SUMIFS($G$12:$G$22, $B$12:$B$22, "Facilities", $H$12:$H$22, "Yes")</f>
        <v>4400.0000000000009</v>
      </c>
      <c r="L28" s="97">
        <f>K28/$B$25</f>
        <v>0.3028634361233481</v>
      </c>
      <c r="M28" s="8"/>
      <c r="N28" s="8"/>
      <c r="O28" s="8"/>
      <c r="P28" s="8"/>
      <c r="Q28" s="8"/>
    </row>
    <row r="29" spans="1:17" x14ac:dyDescent="0.25">
      <c r="A29" s="8"/>
      <c r="B29" s="8"/>
      <c r="C29" s="8"/>
      <c r="D29" s="168"/>
      <c r="E29" s="8"/>
      <c r="F29" s="49"/>
      <c r="G29" s="73"/>
      <c r="H29" s="182"/>
      <c r="I29" s="432"/>
      <c r="J29" s="432"/>
      <c r="K29" s="432"/>
      <c r="L29" s="67" t="s">
        <v>1</v>
      </c>
      <c r="M29" s="8"/>
      <c r="N29" s="8"/>
      <c r="O29" s="8"/>
      <c r="P29" s="8"/>
      <c r="Q29" s="8"/>
    </row>
    <row r="30" spans="1:17" x14ac:dyDescent="0.25">
      <c r="D30" s="168"/>
      <c r="E30" s="8"/>
      <c r="F30" s="49"/>
      <c r="G30" s="73"/>
      <c r="H30" s="8"/>
      <c r="I30" s="8"/>
      <c r="J30" s="8"/>
      <c r="K30" s="8"/>
      <c r="L30" s="67"/>
      <c r="M30" s="8"/>
      <c r="N30" s="8"/>
      <c r="O30" s="8"/>
      <c r="P30" s="8"/>
      <c r="Q30" s="8"/>
    </row>
    <row r="31" spans="1:17" x14ac:dyDescent="0.25">
      <c r="A31" s="8"/>
      <c r="B31" s="8"/>
      <c r="C31" s="8"/>
      <c r="D31" s="183"/>
      <c r="E31" s="70"/>
      <c r="F31" s="184"/>
      <c r="G31" s="8"/>
      <c r="H31" s="70"/>
      <c r="I31" s="70"/>
      <c r="J31" s="70"/>
      <c r="K31" s="145"/>
      <c r="L31" s="103"/>
    </row>
    <row r="32" spans="1:17" x14ac:dyDescent="0.25">
      <c r="A32" s="8"/>
      <c r="B32" s="8"/>
      <c r="C32" s="8"/>
      <c r="D32" s="8"/>
      <c r="E32" s="70"/>
      <c r="F32" s="184"/>
      <c r="G32" s="8"/>
      <c r="H32" s="70"/>
      <c r="I32" s="70"/>
      <c r="J32" s="70"/>
      <c r="K32" s="145"/>
      <c r="L32" s="103"/>
    </row>
    <row r="33" spans="1:12" x14ac:dyDescent="0.25">
      <c r="A33" s="329" t="s">
        <v>287</v>
      </c>
      <c r="B33" s="10" t="s">
        <v>217</v>
      </c>
      <c r="C33" s="277">
        <v>0.1</v>
      </c>
      <c r="D33" s="10" t="s">
        <v>218</v>
      </c>
      <c r="E33" s="277">
        <v>0.9</v>
      </c>
      <c r="F33" s="10" t="s">
        <v>74</v>
      </c>
      <c r="G33" s="10">
        <f>$G$4</f>
        <v>3</v>
      </c>
      <c r="H33" s="8"/>
      <c r="I33" s="8"/>
      <c r="J33" s="8"/>
      <c r="K33" s="8"/>
      <c r="L33" s="67"/>
    </row>
    <row r="34" spans="1:12" ht="30" x14ac:dyDescent="0.25">
      <c r="A34" s="142" t="s">
        <v>1</v>
      </c>
      <c r="B34" s="144" t="s">
        <v>0</v>
      </c>
      <c r="C34" s="143" t="s">
        <v>44</v>
      </c>
      <c r="D34" s="143" t="s">
        <v>25</v>
      </c>
      <c r="E34" s="143" t="s">
        <v>20</v>
      </c>
      <c r="F34" s="143" t="s">
        <v>21</v>
      </c>
      <c r="G34" s="143" t="s">
        <v>114</v>
      </c>
      <c r="H34" s="143" t="s">
        <v>17</v>
      </c>
      <c r="I34" s="41"/>
      <c r="J34" s="48"/>
    </row>
    <row r="35" spans="1:12" x14ac:dyDescent="0.25">
      <c r="A35" s="128" t="s">
        <v>267</v>
      </c>
      <c r="B35" s="129"/>
      <c r="C35" s="130"/>
      <c r="D35" s="129">
        <f>G33</f>
        <v>3</v>
      </c>
      <c r="E35" s="190">
        <v>100</v>
      </c>
      <c r="F35" s="130">
        <f>D35*E35</f>
        <v>300</v>
      </c>
      <c r="G35" s="187"/>
      <c r="H35" s="188" t="s">
        <v>18</v>
      </c>
    </row>
    <row r="36" spans="1:12" x14ac:dyDescent="0.25">
      <c r="A36" s="129" t="s">
        <v>85</v>
      </c>
      <c r="B36" s="129"/>
      <c r="C36" s="130"/>
      <c r="D36" s="129">
        <f>G33</f>
        <v>3</v>
      </c>
      <c r="E36" s="130">
        <f>'Demographic Data'!$B$6</f>
        <v>1000</v>
      </c>
      <c r="F36" s="130">
        <f>D36*E36</f>
        <v>3000</v>
      </c>
      <c r="G36" s="187"/>
      <c r="H36" s="188" t="s">
        <v>18</v>
      </c>
      <c r="I36" s="41"/>
      <c r="J36" s="41"/>
    </row>
    <row r="37" spans="1:12" x14ac:dyDescent="0.25">
      <c r="A37" s="50" t="s">
        <v>26</v>
      </c>
      <c r="B37" s="9" t="s">
        <v>3</v>
      </c>
      <c r="C37" s="185">
        <f>'Prices_non-Labor'!$E$12</f>
        <v>1.2</v>
      </c>
      <c r="D37" s="53">
        <v>1</v>
      </c>
      <c r="E37" s="51">
        <f>E36*D37</f>
        <v>1000</v>
      </c>
      <c r="F37" s="51">
        <f>E37*D37</f>
        <v>1000</v>
      </c>
      <c r="G37" s="189">
        <f t="shared" ref="G37:G49" si="3">F37*C37</f>
        <v>1200</v>
      </c>
      <c r="H37" s="61" t="s">
        <v>16</v>
      </c>
      <c r="I37" s="137"/>
      <c r="J37" s="41"/>
    </row>
    <row r="38" spans="1:12" x14ac:dyDescent="0.25">
      <c r="A38" s="50" t="s">
        <v>79</v>
      </c>
      <c r="B38" s="9" t="s">
        <v>3</v>
      </c>
      <c r="C38" s="185">
        <f>'Prices_non-Labor'!$E$13</f>
        <v>1</v>
      </c>
      <c r="D38" s="53">
        <v>0.2</v>
      </c>
      <c r="E38" s="51">
        <f>SUM(E35:E36)</f>
        <v>1100</v>
      </c>
      <c r="F38" s="51">
        <f>E38*D38</f>
        <v>220</v>
      </c>
      <c r="G38" s="189">
        <f t="shared" si="3"/>
        <v>220</v>
      </c>
      <c r="H38" s="61" t="s">
        <v>16</v>
      </c>
      <c r="I38" s="137"/>
      <c r="J38" s="41"/>
    </row>
    <row r="39" spans="1:12" x14ac:dyDescent="0.25">
      <c r="A39" s="50" t="s">
        <v>292</v>
      </c>
      <c r="B39" s="9" t="s">
        <v>3</v>
      </c>
      <c r="C39" s="185">
        <f>'Prices_non-Labor'!$E$11</f>
        <v>1</v>
      </c>
      <c r="D39" s="9">
        <v>0</v>
      </c>
      <c r="E39" s="65">
        <f>$E$35</f>
        <v>100</v>
      </c>
      <c r="F39" s="51">
        <f t="shared" ref="F39:F43" si="4">D39*E39</f>
        <v>0</v>
      </c>
      <c r="G39" s="189">
        <f t="shared" si="3"/>
        <v>0</v>
      </c>
      <c r="H39" s="61" t="s">
        <v>16</v>
      </c>
      <c r="I39" s="41"/>
      <c r="J39" s="41"/>
    </row>
    <row r="40" spans="1:12" x14ac:dyDescent="0.25">
      <c r="A40" s="9" t="s">
        <v>293</v>
      </c>
      <c r="B40" s="9" t="s">
        <v>3</v>
      </c>
      <c r="C40" s="185">
        <f>'Prices_non-Labor'!$E$11</f>
        <v>1</v>
      </c>
      <c r="D40" s="9">
        <v>1</v>
      </c>
      <c r="E40" s="65">
        <f>$E$36</f>
        <v>1000</v>
      </c>
      <c r="F40" s="51">
        <f t="shared" si="4"/>
        <v>1000</v>
      </c>
      <c r="G40" s="189">
        <f t="shared" si="3"/>
        <v>1000</v>
      </c>
      <c r="H40" s="61" t="s">
        <v>16</v>
      </c>
      <c r="I40" s="41"/>
      <c r="J40" s="41"/>
    </row>
    <row r="41" spans="1:12" x14ac:dyDescent="0.25">
      <c r="A41" s="50" t="s">
        <v>201</v>
      </c>
      <c r="B41" s="9" t="s">
        <v>41</v>
      </c>
      <c r="C41" s="186">
        <f>'Prices_non-Labor'!$E$30</f>
        <v>13.5</v>
      </c>
      <c r="D41" s="52">
        <f>$G$33</f>
        <v>3</v>
      </c>
      <c r="E41" s="105">
        <f>$E$35*$E$33</f>
        <v>90</v>
      </c>
      <c r="F41" s="133">
        <f t="shared" si="4"/>
        <v>270</v>
      </c>
      <c r="G41" s="189">
        <f t="shared" si="3"/>
        <v>3645</v>
      </c>
      <c r="H41" s="61" t="s">
        <v>16</v>
      </c>
      <c r="I41" s="41"/>
      <c r="J41" s="41"/>
    </row>
    <row r="42" spans="1:12" x14ac:dyDescent="0.25">
      <c r="A42" s="50" t="s">
        <v>203</v>
      </c>
      <c r="B42" s="9" t="s">
        <v>41</v>
      </c>
      <c r="C42" s="186">
        <f>'Prices_non-Labor'!$E$36</f>
        <v>34</v>
      </c>
      <c r="D42" s="9">
        <v>1</v>
      </c>
      <c r="E42" s="105">
        <f>$E$35*$C$33</f>
        <v>10</v>
      </c>
      <c r="F42" s="51">
        <f t="shared" si="4"/>
        <v>10</v>
      </c>
      <c r="G42" s="189">
        <f t="shared" si="3"/>
        <v>340</v>
      </c>
      <c r="H42" s="61" t="s">
        <v>16</v>
      </c>
      <c r="I42" s="41"/>
      <c r="J42" s="41"/>
    </row>
    <row r="43" spans="1:12" x14ac:dyDescent="0.25">
      <c r="A43" s="9" t="s">
        <v>198</v>
      </c>
      <c r="B43" s="9" t="s">
        <v>41</v>
      </c>
      <c r="C43" s="186">
        <f>'Prices_non-Labor'!$E$30</f>
        <v>13.5</v>
      </c>
      <c r="D43" s="52">
        <f>$G$33</f>
        <v>3</v>
      </c>
      <c r="E43" s="105">
        <f>E36*$E$33</f>
        <v>900</v>
      </c>
      <c r="F43" s="51">
        <f t="shared" si="4"/>
        <v>2700</v>
      </c>
      <c r="G43" s="189">
        <f t="shared" si="3"/>
        <v>36450</v>
      </c>
      <c r="H43" s="61" t="s">
        <v>16</v>
      </c>
      <c r="I43" s="41"/>
      <c r="J43" s="41"/>
    </row>
    <row r="44" spans="1:12" x14ac:dyDescent="0.25">
      <c r="A44" s="9" t="s">
        <v>204</v>
      </c>
      <c r="B44" s="9" t="s">
        <v>41</v>
      </c>
      <c r="C44" s="186">
        <f>'Prices_non-Labor'!$E$36</f>
        <v>34</v>
      </c>
      <c r="D44" s="9">
        <v>1</v>
      </c>
      <c r="E44" s="45">
        <f>$E$36*C33</f>
        <v>100</v>
      </c>
      <c r="F44" s="65">
        <f>E44*D44</f>
        <v>100</v>
      </c>
      <c r="G44" s="189">
        <f t="shared" si="3"/>
        <v>3400</v>
      </c>
      <c r="H44" s="61" t="s">
        <v>16</v>
      </c>
      <c r="I44" s="41"/>
      <c r="J44" s="41"/>
    </row>
    <row r="45" spans="1:12" x14ac:dyDescent="0.25">
      <c r="A45" s="50" t="s">
        <v>201</v>
      </c>
      <c r="B45" s="9" t="s">
        <v>109</v>
      </c>
      <c r="C45" s="65">
        <f>'Prices_non-Labor'!$E$29</f>
        <v>6.5</v>
      </c>
      <c r="D45" s="52">
        <f t="shared" ref="D45:D49" si="5">$G$33</f>
        <v>3</v>
      </c>
      <c r="E45" s="105">
        <f>$E$35*$E$33</f>
        <v>90</v>
      </c>
      <c r="F45" s="133">
        <f>D45*E45</f>
        <v>270</v>
      </c>
      <c r="G45" s="189">
        <f t="shared" si="3"/>
        <v>1755</v>
      </c>
      <c r="H45" s="61" t="s">
        <v>16</v>
      </c>
      <c r="I45" s="54"/>
      <c r="J45" s="54"/>
    </row>
    <row r="46" spans="1:12" x14ac:dyDescent="0.25">
      <c r="A46" s="50" t="s">
        <v>203</v>
      </c>
      <c r="B46" s="9" t="s">
        <v>109</v>
      </c>
      <c r="C46" s="65">
        <f>'Prices_non-Labor'!$E$35</f>
        <v>24</v>
      </c>
      <c r="D46" s="52">
        <f t="shared" si="5"/>
        <v>3</v>
      </c>
      <c r="E46" s="65">
        <f>$E$35*C33</f>
        <v>10</v>
      </c>
      <c r="F46" s="51">
        <f>D46*E46</f>
        <v>30</v>
      </c>
      <c r="G46" s="189">
        <f t="shared" si="3"/>
        <v>720</v>
      </c>
      <c r="H46" s="61" t="s">
        <v>16</v>
      </c>
      <c r="I46" s="54"/>
      <c r="J46" s="54"/>
    </row>
    <row r="47" spans="1:12" x14ac:dyDescent="0.25">
      <c r="A47" s="9" t="s">
        <v>198</v>
      </c>
      <c r="B47" s="9" t="s">
        <v>109</v>
      </c>
      <c r="C47" s="65">
        <f>'Prices_non-Labor'!$E$29</f>
        <v>6.5</v>
      </c>
      <c r="D47" s="52">
        <f t="shared" si="5"/>
        <v>3</v>
      </c>
      <c r="E47" s="65">
        <f>$E$36*E33</f>
        <v>900</v>
      </c>
      <c r="F47" s="51">
        <f>D47*E47</f>
        <v>2700</v>
      </c>
      <c r="G47" s="189">
        <f t="shared" si="3"/>
        <v>17550</v>
      </c>
      <c r="H47" s="61" t="s">
        <v>16</v>
      </c>
      <c r="I47" s="135"/>
      <c r="J47" s="69"/>
      <c r="K47" s="8"/>
      <c r="L47" s="8"/>
    </row>
    <row r="48" spans="1:12" x14ac:dyDescent="0.25">
      <c r="A48" s="9" t="s">
        <v>204</v>
      </c>
      <c r="B48" s="9" t="s">
        <v>109</v>
      </c>
      <c r="C48" s="65">
        <f>'Prices_non-Labor'!$E$35</f>
        <v>24</v>
      </c>
      <c r="D48" s="52">
        <f t="shared" si="5"/>
        <v>3</v>
      </c>
      <c r="E48" s="45">
        <f>$E$36*C33</f>
        <v>100</v>
      </c>
      <c r="F48" s="65">
        <f>E48*D48</f>
        <v>300</v>
      </c>
      <c r="G48" s="189">
        <f t="shared" si="3"/>
        <v>7200</v>
      </c>
      <c r="H48" s="61" t="s">
        <v>16</v>
      </c>
      <c r="I48" s="135"/>
      <c r="J48" s="69"/>
      <c r="K48" s="8"/>
      <c r="L48" s="8"/>
    </row>
    <row r="49" spans="1:16" x14ac:dyDescent="0.25">
      <c r="A49" s="9" t="s">
        <v>39</v>
      </c>
      <c r="B49" s="9" t="s">
        <v>15</v>
      </c>
      <c r="C49" s="65">
        <f>'Prices_non-Labor'!E24</f>
        <v>110.00000000000001</v>
      </c>
      <c r="D49" s="52">
        <f t="shared" si="5"/>
        <v>3</v>
      </c>
      <c r="E49" s="59">
        <v>400</v>
      </c>
      <c r="F49" s="65">
        <f>D49*E49</f>
        <v>1200</v>
      </c>
      <c r="G49" s="189">
        <f t="shared" si="3"/>
        <v>132000.00000000003</v>
      </c>
      <c r="H49" s="61" t="s">
        <v>16</v>
      </c>
      <c r="I49" s="131"/>
      <c r="J49" s="131"/>
      <c r="K49" s="8"/>
      <c r="L49" s="8"/>
    </row>
    <row r="50" spans="1:16" x14ac:dyDescent="0.25">
      <c r="D50" s="103"/>
      <c r="E50" s="70"/>
      <c r="F50" s="126"/>
      <c r="H50" s="8"/>
      <c r="I50" s="72"/>
      <c r="J50" s="72"/>
      <c r="K50" s="127"/>
      <c r="L50" s="64"/>
    </row>
    <row r="51" spans="1:16" ht="16.5" customHeight="1" x14ac:dyDescent="0.25">
      <c r="A51" s="178" t="s">
        <v>1</v>
      </c>
      <c r="B51" s="176" t="s">
        <v>32</v>
      </c>
      <c r="C51" s="176"/>
      <c r="D51" s="178" t="s">
        <v>1</v>
      </c>
      <c r="E51" s="179"/>
      <c r="F51" s="179"/>
      <c r="G51" s="180" t="s">
        <v>32</v>
      </c>
      <c r="H51" s="178" t="s">
        <v>1</v>
      </c>
      <c r="I51" s="179"/>
      <c r="J51" s="179"/>
      <c r="K51" s="175" t="s">
        <v>32</v>
      </c>
      <c r="L51" s="332" t="s">
        <v>45</v>
      </c>
    </row>
    <row r="52" spans="1:16" x14ac:dyDescent="0.25">
      <c r="A52" s="59" t="s">
        <v>268</v>
      </c>
      <c r="B52" s="186">
        <f>SUM(G37:G49)</f>
        <v>205480.00000000003</v>
      </c>
      <c r="C52" s="79"/>
      <c r="D52" s="427" t="s">
        <v>269</v>
      </c>
      <c r="E52" s="428"/>
      <c r="F52" s="429"/>
      <c r="G52" s="84">
        <f>B52/'Demographic Data'!$B$3</f>
        <v>20.548000000000002</v>
      </c>
      <c r="H52" s="115" t="s">
        <v>272</v>
      </c>
      <c r="I52" s="116"/>
      <c r="J52" s="117"/>
      <c r="K52" s="71">
        <f>SUMIFS($G$37:$G$49, $B$37:$B$49, "Materials", $H$37:$H$49, "Yes")</f>
        <v>2420</v>
      </c>
      <c r="L52" s="97">
        <f>K52/$B$52</f>
        <v>1.177730192719486E-2</v>
      </c>
    </row>
    <row r="53" spans="1:16" x14ac:dyDescent="0.25">
      <c r="A53" s="59"/>
      <c r="B53" s="74"/>
      <c r="C53" s="71"/>
      <c r="D53" s="427" t="s">
        <v>270</v>
      </c>
      <c r="E53" s="428"/>
      <c r="F53" s="429"/>
      <c r="G53" s="84">
        <f>B52/'Demographic Data'!$B$4</f>
        <v>6.8493333333333339</v>
      </c>
      <c r="H53" s="115" t="s">
        <v>273</v>
      </c>
      <c r="I53" s="116"/>
      <c r="J53" s="117"/>
      <c r="K53" s="71">
        <f>SUMIFS($G$37:$G$49, $B$37:$B$49, "Transportation", $H$37:$H$49, "Yes")</f>
        <v>43835</v>
      </c>
      <c r="L53" s="97">
        <f>K53/$B$52</f>
        <v>0.21332976445396143</v>
      </c>
    </row>
    <row r="54" spans="1:16" x14ac:dyDescent="0.25">
      <c r="A54" s="62"/>
      <c r="B54" s="83"/>
      <c r="C54" s="82"/>
      <c r="D54" s="427" t="s">
        <v>271</v>
      </c>
      <c r="E54" s="428"/>
      <c r="F54" s="429"/>
      <c r="G54" s="228">
        <f>B52/'Demographic Data'!$B$5</f>
        <v>0.17123333333333335</v>
      </c>
      <c r="H54" s="116" t="s">
        <v>274</v>
      </c>
      <c r="I54" s="116"/>
      <c r="J54" s="117"/>
      <c r="K54" s="71">
        <f>SUMIFS($G$37:$G$49, $B$37:$B$49, "Meals/Per Diem", $H$37:$H$49, "Yes")</f>
        <v>27225</v>
      </c>
      <c r="L54" s="97">
        <f>K54/$B$52</f>
        <v>0.13249464668094216</v>
      </c>
    </row>
    <row r="55" spans="1:16" x14ac:dyDescent="0.25">
      <c r="A55" s="48"/>
      <c r="B55" s="48"/>
      <c r="C55" s="48"/>
      <c r="D55" s="430"/>
      <c r="E55" s="430"/>
      <c r="F55" s="430"/>
      <c r="G55" s="193"/>
      <c r="H55" s="59" t="s">
        <v>275</v>
      </c>
      <c r="I55" s="59"/>
      <c r="J55" s="59"/>
      <c r="K55" s="71">
        <f>SUMIFS($G$37:$G$49, $B$37:$B$49, "Facilities", $H$37:$H$49, "Yes")</f>
        <v>132000.00000000003</v>
      </c>
      <c r="L55" s="97">
        <f>K55/$B$52</f>
        <v>0.64239828693790157</v>
      </c>
    </row>
    <row r="56" spans="1:16" x14ac:dyDescent="0.25">
      <c r="A56" s="8"/>
      <c r="B56" s="8"/>
      <c r="C56" s="48"/>
      <c r="D56" s="8"/>
      <c r="E56" s="8"/>
      <c r="F56" s="8"/>
      <c r="G56" s="8"/>
      <c r="H56" s="8"/>
      <c r="I56" s="431"/>
      <c r="J56" s="432"/>
      <c r="K56" s="432"/>
      <c r="L56" s="67">
        <f>SUM(L52:L55)</f>
        <v>1</v>
      </c>
    </row>
    <row r="58" spans="1:16" ht="45" x14ac:dyDescent="0.25">
      <c r="A58" s="161" t="s">
        <v>288</v>
      </c>
      <c r="B58" s="144" t="s">
        <v>0</v>
      </c>
      <c r="C58" s="143" t="s">
        <v>44</v>
      </c>
      <c r="D58" s="143" t="s">
        <v>25</v>
      </c>
      <c r="E58" s="143" t="s">
        <v>20</v>
      </c>
      <c r="F58" s="143" t="s">
        <v>21</v>
      </c>
      <c r="G58" s="143" t="s">
        <v>114</v>
      </c>
      <c r="H58" s="143" t="s">
        <v>17</v>
      </c>
      <c r="I58" s="320"/>
      <c r="J58" s="320"/>
      <c r="K58" s="320"/>
      <c r="L58" s="321"/>
    </row>
    <row r="59" spans="1:16" x14ac:dyDescent="0.25">
      <c r="A59" s="9" t="s">
        <v>85</v>
      </c>
      <c r="B59" s="9" t="s">
        <v>2</v>
      </c>
      <c r="C59" s="9"/>
      <c r="D59" s="52">
        <f>$K$3</f>
        <v>9</v>
      </c>
      <c r="E59" s="65">
        <f>'Demographic Data'!$B$3</f>
        <v>10000</v>
      </c>
      <c r="F59" s="51">
        <f>E59*D59</f>
        <v>90000</v>
      </c>
      <c r="G59" s="322"/>
      <c r="H59" s="61" t="s">
        <v>18</v>
      </c>
      <c r="I59" s="322"/>
      <c r="J59" s="45"/>
      <c r="K59" s="45"/>
      <c r="L59" s="61"/>
    </row>
    <row r="60" spans="1:16" x14ac:dyDescent="0.25">
      <c r="A60" s="9" t="s">
        <v>85</v>
      </c>
      <c r="B60" s="9" t="s">
        <v>41</v>
      </c>
      <c r="C60" s="195">
        <f>'Prices_non-Labor'!E46</f>
        <v>10.884353741496598</v>
      </c>
      <c r="D60" s="52">
        <f t="shared" ref="D60:D62" si="6">$K$3</f>
        <v>9</v>
      </c>
      <c r="E60" s="65">
        <f>'Demographic Data'!$B$3</f>
        <v>10000</v>
      </c>
      <c r="F60" s="51">
        <f>D60*E60/3</f>
        <v>30000</v>
      </c>
      <c r="G60" s="322">
        <f>SUM(F60*C60)</f>
        <v>326530.61224489793</v>
      </c>
      <c r="H60" s="61" t="s">
        <v>16</v>
      </c>
      <c r="I60" s="322"/>
      <c r="J60" s="45"/>
      <c r="K60" s="45"/>
      <c r="L60" s="61"/>
    </row>
    <row r="61" spans="1:16" x14ac:dyDescent="0.25">
      <c r="A61" s="9" t="s">
        <v>85</v>
      </c>
      <c r="B61" s="9" t="s">
        <v>252</v>
      </c>
      <c r="C61" s="9">
        <f>'Prices_non-Labor'!E45</f>
        <v>6.8</v>
      </c>
      <c r="D61" s="52">
        <f t="shared" si="6"/>
        <v>9</v>
      </c>
      <c r="E61" s="65">
        <f>'Demographic Data'!$B$3</f>
        <v>10000</v>
      </c>
      <c r="F61" s="51">
        <f>D61*E61/3</f>
        <v>30000</v>
      </c>
      <c r="G61" s="322">
        <f t="shared" ref="G61:G62" si="7">SUM(F61*C61)</f>
        <v>204000</v>
      </c>
      <c r="H61" s="61" t="s">
        <v>16</v>
      </c>
      <c r="I61" s="322"/>
      <c r="J61" s="45"/>
      <c r="K61" s="45"/>
      <c r="L61" s="61"/>
    </row>
    <row r="62" spans="1:16" x14ac:dyDescent="0.25">
      <c r="A62" s="9" t="s">
        <v>85</v>
      </c>
      <c r="B62" s="9" t="s">
        <v>3</v>
      </c>
      <c r="C62" s="43">
        <f>'Prices_non-Labor'!E47</f>
        <v>0.3</v>
      </c>
      <c r="D62" s="52">
        <f t="shared" si="6"/>
        <v>9</v>
      </c>
      <c r="E62" s="65">
        <f>'Demographic Data'!$B$3</f>
        <v>10000</v>
      </c>
      <c r="F62" s="51">
        <f>SUM(D62*E62)*2</f>
        <v>180000</v>
      </c>
      <c r="G62" s="322">
        <f t="shared" si="7"/>
        <v>54000</v>
      </c>
      <c r="H62" s="61" t="s">
        <v>16</v>
      </c>
      <c r="I62" s="51"/>
      <c r="J62" s="51"/>
      <c r="K62" s="51"/>
      <c r="L62" s="61"/>
      <c r="M62" s="8"/>
      <c r="N62" s="8"/>
      <c r="O62" s="8"/>
      <c r="P62" s="8"/>
    </row>
    <row r="63" spans="1:16" x14ac:dyDescent="0.25">
      <c r="E63" s="70"/>
      <c r="F63" s="72"/>
      <c r="G63" s="323"/>
      <c r="H63" s="323"/>
      <c r="I63" s="323"/>
      <c r="J63" s="205"/>
      <c r="K63" s="205"/>
      <c r="L63" s="64"/>
      <c r="M63" s="8"/>
      <c r="N63" s="8"/>
      <c r="O63" s="8"/>
      <c r="P63" s="8"/>
    </row>
    <row r="64" spans="1:16" x14ac:dyDescent="0.25">
      <c r="A64" s="112" t="s">
        <v>255</v>
      </c>
      <c r="B64" s="176" t="s">
        <v>32</v>
      </c>
      <c r="C64" s="176"/>
      <c r="D64" s="178" t="s">
        <v>1</v>
      </c>
      <c r="E64" s="179"/>
      <c r="F64" s="179"/>
      <c r="G64" s="180" t="s">
        <v>32</v>
      </c>
      <c r="H64" s="178" t="s">
        <v>1</v>
      </c>
      <c r="I64" s="179"/>
      <c r="J64" s="179"/>
      <c r="K64" s="175" t="s">
        <v>32</v>
      </c>
      <c r="L64" s="177" t="s">
        <v>45</v>
      </c>
      <c r="M64" s="55"/>
      <c r="N64" s="68"/>
      <c r="O64" s="8"/>
      <c r="P64" s="8"/>
    </row>
    <row r="65" spans="1:16" x14ac:dyDescent="0.25">
      <c r="A65" s="59" t="s">
        <v>297</v>
      </c>
      <c r="B65" s="65">
        <f>SUM(G60:G62)</f>
        <v>584530.61224489799</v>
      </c>
      <c r="C65" s="71"/>
      <c r="D65" s="433" t="s">
        <v>299</v>
      </c>
      <c r="E65" s="433"/>
      <c r="F65" s="433"/>
      <c r="G65" s="84">
        <f>B65/'Demographic Data'!$B$3</f>
        <v>58.453061224489801</v>
      </c>
      <c r="H65" s="71"/>
      <c r="I65" s="115" t="s">
        <v>294</v>
      </c>
      <c r="J65" s="116"/>
      <c r="K65" s="71">
        <f>SUMIFS($G$59:$G$62, $B$59:$B$62, "Materials", $H$59:$H$62, "Yes")</f>
        <v>54000</v>
      </c>
      <c r="L65" s="97">
        <f>K65/$B$65</f>
        <v>9.23818169122268E-2</v>
      </c>
      <c r="M65" s="97"/>
      <c r="N65" s="69"/>
      <c r="O65" s="8"/>
      <c r="P65" s="8"/>
    </row>
    <row r="66" spans="1:16" x14ac:dyDescent="0.25">
      <c r="A66" s="59"/>
      <c r="B66" s="86"/>
      <c r="C66" s="71"/>
      <c r="D66" s="433" t="s">
        <v>298</v>
      </c>
      <c r="E66" s="433"/>
      <c r="F66" s="433"/>
      <c r="G66" s="84">
        <f>B65/'Demographic Data'!$B$4</f>
        <v>19.484353741496598</v>
      </c>
      <c r="H66" s="71"/>
      <c r="I66" s="116" t="s">
        <v>295</v>
      </c>
      <c r="J66" s="116"/>
      <c r="K66" s="71">
        <f>SUMIFS($G$59:$G$62, $B$59:$B$62, "Transportation", $H$59:$H$62, "Yes")</f>
        <v>326530.61224489793</v>
      </c>
      <c r="L66" s="97">
        <f>K66/$B$65</f>
        <v>0.55862020808602741</v>
      </c>
      <c r="M66" s="97"/>
      <c r="N66" s="69"/>
      <c r="O66" s="8"/>
      <c r="P66" s="8"/>
    </row>
    <row r="67" spans="1:16" x14ac:dyDescent="0.25">
      <c r="A67" s="62"/>
      <c r="B67" s="83"/>
      <c r="C67" s="71"/>
      <c r="D67" s="426" t="s">
        <v>300</v>
      </c>
      <c r="E67" s="426"/>
      <c r="F67" s="426"/>
      <c r="G67" s="228">
        <f>B65/'Demographic Data'!$B$5</f>
        <v>0.48710884353741501</v>
      </c>
      <c r="H67" s="324"/>
      <c r="I67" s="59" t="s">
        <v>296</v>
      </c>
      <c r="J67" s="59"/>
      <c r="K67" s="71">
        <f>SUMIFS($G$59:$G$62, $B$59:$B$62, "DSA/Meals", $H$59:$H$62, "Yes")</f>
        <v>204000</v>
      </c>
      <c r="L67" s="97">
        <f>K67/$B$65</f>
        <v>0.34899797500174567</v>
      </c>
      <c r="M67" s="97"/>
      <c r="N67" s="69"/>
      <c r="O67" s="8"/>
      <c r="P67" s="8"/>
    </row>
    <row r="68" spans="1:16" x14ac:dyDescent="0.25">
      <c r="A68" s="8"/>
      <c r="B68" s="48"/>
      <c r="C68" s="8"/>
      <c r="D68" s="8"/>
      <c r="E68" s="8"/>
      <c r="F68" s="8"/>
      <c r="G68" s="102"/>
      <c r="H68" s="325"/>
      <c r="I68" s="59"/>
      <c r="J68" s="59"/>
      <c r="K68" s="71"/>
      <c r="L68" s="97">
        <f>SUM(L65:L67)</f>
        <v>0.99999999999999989</v>
      </c>
      <c r="M68" s="67"/>
      <c r="N68" s="69"/>
      <c r="O68" s="8"/>
      <c r="P68" s="8"/>
    </row>
    <row r="69" spans="1:16" x14ac:dyDescent="0.25">
      <c r="L69" s="304"/>
    </row>
  </sheetData>
  <sheetProtection algorithmName="SHA-512" hashValue="q6UlDdkgKOxWes7VIj/ccGyE0UDsSfFnRREJ/JQAm7apjKFFKGVEQAPJOwJdjETJBI7tumpPrM0b7cv31251bQ==" saltValue="LVyEWub9osSW1+CAyE9ZjA==" spinCount="100000" sheet="1" objects="1" scenarios="1"/>
  <mergeCells count="22">
    <mergeCell ref="D66:F66"/>
    <mergeCell ref="D67:F67"/>
    <mergeCell ref="I56:K56"/>
    <mergeCell ref="E7:F7"/>
    <mergeCell ref="E8:F8"/>
    <mergeCell ref="D65:F65"/>
    <mergeCell ref="I29:K29"/>
    <mergeCell ref="D52:F52"/>
    <mergeCell ref="D53:F53"/>
    <mergeCell ref="D54:F54"/>
    <mergeCell ref="D55:F55"/>
    <mergeCell ref="E4:F4"/>
    <mergeCell ref="H4:J4"/>
    <mergeCell ref="H6:J6"/>
    <mergeCell ref="H7:J7"/>
    <mergeCell ref="H28:J28"/>
    <mergeCell ref="E1:H1"/>
    <mergeCell ref="I1:M1"/>
    <mergeCell ref="E2:G2"/>
    <mergeCell ref="H2:K2"/>
    <mergeCell ref="E3:F3"/>
    <mergeCell ref="H3:J3"/>
  </mergeCells>
  <dataValidations count="2">
    <dataValidation type="list" allowBlank="1" showInputMessage="1" showErrorMessage="1" sqref="L50 L31:L32 L23 H12:H22 H35:H49 L59:L63 H59:H62" xr:uid="{6AF5A21C-E875-4AC4-8146-727C1977EAB8}">
      <formula1>"Yes, No, N/A"</formula1>
    </dataValidation>
    <dataValidation type="list" allowBlank="1" showInputMessage="1" showErrorMessage="1" sqref="C63" xr:uid="{B48CC29B-B4BE-4B35-BC65-F6E53887D4FD}">
      <formula1>"2020,2021,2022,2023,2024"</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3A27A94-B8BB-4938-AE98-8559CDEB96EE}">
          <x14:formula1>
            <xm:f>'Reference Sheet'!$E$2:$E$10</xm:f>
          </x14:formula1>
          <xm:sqref>B31:B32 B12:B23 B35:B50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061ad9f-e157-4acf-8949-42c25e51012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0E1977D7F661045930AD9A76F8FD2E1" ma:contentTypeVersion="10" ma:contentTypeDescription="Create a new document." ma:contentTypeScope="" ma:versionID="e6d2fc975321bf680786d9dbfe48fd6c">
  <xsd:schema xmlns:xsd="http://www.w3.org/2001/XMLSchema" xmlns:xs="http://www.w3.org/2001/XMLSchema" xmlns:p="http://schemas.microsoft.com/office/2006/metadata/properties" xmlns:ns3="c061ad9f-e157-4acf-8949-42c25e51012b" targetNamespace="http://schemas.microsoft.com/office/2006/metadata/properties" ma:root="true" ma:fieldsID="a3086c970994555d40b4b5b319200852" ns3:_="">
    <xsd:import namespace="c061ad9f-e157-4acf-8949-42c25e51012b"/>
    <xsd:element name="properties">
      <xsd:complexType>
        <xsd:sequence>
          <xsd:element name="documentManagement">
            <xsd:complexType>
              <xsd:all>
                <xsd:element ref="ns3:_activity"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61ad9f-e157-4acf-8949-42c25e51012b" elementFormDefault="qualified">
    <xsd:import namespace="http://schemas.microsoft.com/office/2006/documentManagement/types"/>
    <xsd:import namespace="http://schemas.microsoft.com/office/infopath/2007/PartnerControls"/>
    <xsd:element name="_activity" ma:index="8" nillable="true" ma:displayName="_activity" ma:hidden="true" ma:internalName="_activity">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ystemTags" ma:index="17"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81C094-AFA8-45BC-97F1-C540335EF19C}">
  <ds:schemaRefs>
    <ds:schemaRef ds:uri="http://schemas.openxmlformats.org/package/2006/metadata/core-properties"/>
    <ds:schemaRef ds:uri="http://schemas.microsoft.com/office/infopath/2007/PartnerControls"/>
    <ds:schemaRef ds:uri="http://purl.org/dc/elements/1.1/"/>
    <ds:schemaRef ds:uri="http://schemas.microsoft.com/office/2006/documentManagement/types"/>
    <ds:schemaRef ds:uri="c061ad9f-e157-4acf-8949-42c25e51012b"/>
    <ds:schemaRef ds:uri="http://purl.org/dc/dcmitype/"/>
    <ds:schemaRef ds:uri="http://www.w3.org/XML/1998/namespace"/>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F89BADDA-8D66-4242-8333-724217919CE5}">
  <ds:schemaRefs>
    <ds:schemaRef ds:uri="http://schemas.microsoft.com/sharepoint/v3/contenttype/forms"/>
  </ds:schemaRefs>
</ds:datastoreItem>
</file>

<file path=customXml/itemProps3.xml><?xml version="1.0" encoding="utf-8"?>
<ds:datastoreItem xmlns:ds="http://schemas.openxmlformats.org/officeDocument/2006/customXml" ds:itemID="{38A07BC3-460D-4CDC-9C89-0A880C1D97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61ad9f-e157-4acf-8949-42c25e5101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READ_ME</vt:lpstr>
      <vt:lpstr>Final Model Description</vt:lpstr>
      <vt:lpstr>How to Make Adjustments</vt:lpstr>
      <vt:lpstr>MULTI-YEAR SUMMARY </vt:lpstr>
      <vt:lpstr>Model_Yr1</vt:lpstr>
      <vt:lpstr>Model_Yr2</vt:lpstr>
      <vt:lpstr>Model_Yr 3</vt:lpstr>
      <vt:lpstr>Model_Yr 4</vt:lpstr>
      <vt:lpstr>Instructional Coaching</vt:lpstr>
      <vt:lpstr>Prices_non-Labor</vt:lpstr>
      <vt:lpstr>Demographic Data</vt:lpstr>
      <vt:lpstr>Reference Sheet</vt:lpstr>
      <vt:lpstr>CORE Model_Year 3</vt:lpstr>
      <vt:lpstr>READ_ME!_ftn1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Beggs</dc:creator>
  <cp:lastModifiedBy>Christine Beggs</cp:lastModifiedBy>
  <dcterms:created xsi:type="dcterms:W3CDTF">2025-01-31T10:12:38Z</dcterms:created>
  <dcterms:modified xsi:type="dcterms:W3CDTF">2025-09-23T19:24:20Z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0x010100E0E1977D7F661045930AD9A76F8FD2E1</vt:lpwstr>
  </property>
</Properties>
</file>